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1.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https://seringtec-my.sharepoint.com/personal/javier_narvaez_seringtec_com1/Documents/0-MgraExcel-Python/"/>
    </mc:Choice>
  </mc:AlternateContent>
  <xr:revisionPtr revIDLastSave="162" documentId="13_ncr:1_{956877E6-077D-479C-B1AB-357BE15053BC}" xr6:coauthVersionLast="47" xr6:coauthVersionMax="47" xr10:uidLastSave="{A8205D19-FBBA-4417-8FD9-4D03A8737ADA}"/>
  <bookViews>
    <workbookView xWindow="28680" yWindow="-120" windowWidth="29040" windowHeight="15720" tabRatio="937" firstSheet="2" activeTab="2" xr2:uid="{00000000-000D-0000-FFFF-FFFF00000000}"/>
  </bookViews>
  <sheets>
    <sheet name="TEORIA1" sheetId="77" state="hidden" r:id="rId1"/>
    <sheet name="TEORIA2" sheetId="32" state="hidden" r:id="rId2"/>
    <sheet name="Aplicacion" sheetId="125" r:id="rId3"/>
    <sheet name="PORTADA " sheetId="122" r:id="rId4"/>
    <sheet name="C.C. " sheetId="123" r:id="rId5"/>
    <sheet name="CÁLCULO CONDUCTORES DE MT" sheetId="34" r:id="rId6"/>
    <sheet name="Listas" sheetId="20" state="hidden" r:id="rId7"/>
    <sheet name="CODIFICACIÓN ECO" sheetId="36" state="hidden" r:id="rId8"/>
    <sheet name="DIÁMETRO BT" sheetId="28" state="hidden" r:id="rId9"/>
    <sheet name="CONDCUTORES MT" sheetId="35" state="hidden" r:id="rId10"/>
    <sheet name="H2-CONDUCTORES DE BT" sheetId="7" r:id="rId11"/>
    <sheet name="H3-PÉRDIDAS" sheetId="50" r:id="rId12"/>
    <sheet name="H4-CANALIZACIONES" sheetId="29" r:id="rId13"/>
    <sheet name="PÉRDIDAS ECONO Al" sheetId="52" state="hidden" r:id="rId14"/>
    <sheet name="PÉRDIDAS ECONO Cu" sheetId="51" state="hidden" r:id="rId15"/>
    <sheet name="RESUMEN" sheetId="53" state="hidden" r:id="rId16"/>
    <sheet name="H1-CUADRO DE CARGAS" sheetId="84" r:id="rId17"/>
    <sheet name="NOTAS" sheetId="30" r:id="rId18"/>
    <sheet name="CONDUITS" sheetId="10" state="hidden" r:id="rId19"/>
    <sheet name="Demanda Trafo A" sheetId="93" r:id="rId20"/>
    <sheet name="Longitudes" sheetId="98" r:id="rId21"/>
    <sheet name="Resumen Perdidas" sheetId="124" state="hidden" r:id="rId22"/>
    <sheet name="factores" sheetId="82" state="hidden" r:id="rId23"/>
    <sheet name="Tablas Cables" sheetId="80" state="hidden" r:id="rId24"/>
    <sheet name="Equipos-fondo" sheetId="91" state="hidden" r:id="rId25"/>
    <sheet name="TABLAC" sheetId="46" state="hidden" r:id="rId26"/>
    <sheet name="0-5000" sheetId="9" state="hidden" r:id="rId27"/>
    <sheet name="I Plena Carga" sheetId="13" state="hidden" r:id="rId28"/>
    <sheet name="CONDUCTORES" sheetId="11" r:id="rId29"/>
    <sheet name="COSTOS" sheetId="55" state="hidden" r:id="rId30"/>
    <sheet name="5000-35000" sheetId="12" state="hidden" r:id="rId31"/>
    <sheet name="% PORTADORES I" sheetId="19" state="hidden"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a">#REF!</definedName>
    <definedName name="\B">#REF!</definedName>
    <definedName name="\c">#REF!</definedName>
    <definedName name="\D">#REF!</definedName>
    <definedName name="\E">#REF!</definedName>
    <definedName name="\f">#REF!</definedName>
    <definedName name="\L">#REF!</definedName>
    <definedName name="\P">#REF!</definedName>
    <definedName name="\w">#REF!</definedName>
    <definedName name="\x">#REF!</definedName>
    <definedName name="\z">#REF!</definedName>
    <definedName name="_____________________________________________________________________________________________xl5" hidden="1">{"Actual Equipment",#N/A,FALSE,"BA D5"}</definedName>
    <definedName name="____________________________________________________________________________________________xl5" hidden="1">{"Actual Equipment",#N/A,FALSE,"BA D5"}</definedName>
    <definedName name="___________________________________________________________________________________________xl5" hidden="1">{"Actual Equipment",#N/A,FALSE,"BA D5"}</definedName>
    <definedName name="__________________________________________________________________________________________xl5" hidden="1">{"Actual Equipment",#N/A,FALSE,"BA D5"}</definedName>
    <definedName name="_________________________________________________________________________________________xl5" hidden="1">{"Actual Equipment",#N/A,FALSE,"BA D5"}</definedName>
    <definedName name="________________________________________________________________________________________xl5" hidden="1">{"Actual Equipment",#N/A,FALSE,"BA D5"}</definedName>
    <definedName name="_______________________________________________________________________________________xl5" hidden="1">{"Actual Equipment",#N/A,FALSE,"BA D5"}</definedName>
    <definedName name="______________________________________________________________________________________xl5" hidden="1">{"Actual Equipment",#N/A,FALSE,"BA D5"}</definedName>
    <definedName name="_____________________________________________________________________________________xl5" hidden="1">{"Actual Equipment",#N/A,FALSE,"BA D5"}</definedName>
    <definedName name="____________________________________________________________________________________xl5" hidden="1">{"Actual Equipment",#N/A,FALSE,"BA D5"}</definedName>
    <definedName name="___________________________________________________________________________________xl5" hidden="1">{"Actual Equipment",#N/A,FALSE,"BA D5"}</definedName>
    <definedName name="__________________________________________________________________________________xl5" hidden="1">{"Actual Equipment",#N/A,FALSE,"BA D5"}</definedName>
    <definedName name="_________________________________________________________________________________xl5" hidden="1">{"Actual Equipment",#N/A,FALSE,"BA D5"}</definedName>
    <definedName name="________________________________________________________________________________xl5" hidden="1">{"Actual Equipment",#N/A,FALSE,"BA D5"}</definedName>
    <definedName name="_______________________________________________________________________________xl5" hidden="1">{"Actual Equipment",#N/A,FALSE,"BA D5"}</definedName>
    <definedName name="______________________________________________________________________________xl5" hidden="1">{"Actual Equipment",#N/A,FALSE,"BA D5"}</definedName>
    <definedName name="_____________________________________________________________________________xl5" hidden="1">{"Actual Equipment",#N/A,FALSE,"BA D5"}</definedName>
    <definedName name="____________________________________________________________________________xl5" hidden="1">{"Actual Equipment",#N/A,FALSE,"BA D5"}</definedName>
    <definedName name="___________________________________________________________________________xl5" hidden="1">{"Actual Equipment",#N/A,FALSE,"BA D5"}</definedName>
    <definedName name="__________________________________________________________________________xl5" hidden="1">{"Actual Equipment",#N/A,FALSE,"BA D5"}</definedName>
    <definedName name="_________________________________________________________________________xl5" hidden="1">{"Actual Equipment",#N/A,FALSE,"BA D5"}</definedName>
    <definedName name="________________________________________________________________________xl5" hidden="1">{"Actual Equipment",#N/A,FALSE,"BA D5"}</definedName>
    <definedName name="_______________________________________________________________________xl5" hidden="1">{"Actual Equipment",#N/A,FALSE,"BA D5"}</definedName>
    <definedName name="______________________________________________________________________xl5" hidden="1">{"Actual Equipment",#N/A,FALSE,"BA D5"}</definedName>
    <definedName name="_____________________________________________________________________xl5" hidden="1">{"Actual Equipment",#N/A,FALSE,"BA D5"}</definedName>
    <definedName name="____________________________________________________________________xl5" hidden="1">{"Actual Equipment",#N/A,FALSE,"BA D5"}</definedName>
    <definedName name="___________________________________________________________________xl5" hidden="1">{"Actual Equipment",#N/A,FALSE,"BA D5"}</definedName>
    <definedName name="__________________________________________________________________xl5" hidden="1">{"Actual Equipment",#N/A,FALSE,"BA D5"}</definedName>
    <definedName name="_________________________________________________________________xl5" hidden="1">{"Actual Equipment",#N/A,FALSE,"BA D5"}</definedName>
    <definedName name="________________________________________________________________xl5" hidden="1">{"Actual Equipment",#N/A,FALSE,"BA D5"}</definedName>
    <definedName name="_______________________________________________________________xl5" hidden="1">{"Actual Equipment",#N/A,FALSE,"BA D5"}</definedName>
    <definedName name="______________________________________________________________xl5" hidden="1">{"Actual Equipment",#N/A,FALSE,"BA D5"}</definedName>
    <definedName name="_____________________________________________________________xl5" hidden="1">{"Actual Equipment",#N/A,FALSE,"BA D5"}</definedName>
    <definedName name="____________________________________________________________xl5" hidden="1">{"Actual Equipment",#N/A,FALSE,"BA D5"}</definedName>
    <definedName name="___________________________________________________________xl5" hidden="1">{"Actual Equipment",#N/A,FALSE,"BA D5"}</definedName>
    <definedName name="__________________________________________________________xl5" hidden="1">{"Actual Equipment",#N/A,FALSE,"BA D5"}</definedName>
    <definedName name="_________________________________________________________xl5" hidden="1">{"Actual Equipment",#N/A,FALSE,"BA D5"}</definedName>
    <definedName name="________________________________________________________xl5" hidden="1">{"Actual Equipment",#N/A,FALSE,"BA D5"}</definedName>
    <definedName name="_______________________________________________________xl5" hidden="1">{"Actual Equipment",#N/A,FALSE,"BA D5"}</definedName>
    <definedName name="______________________________________________________xl5" hidden="1">{"Actual Equipment",#N/A,FALSE,"BA D5"}</definedName>
    <definedName name="_____________________________________________________xl5" hidden="1">{"Actual Equipment",#N/A,FALSE,"BA D5"}</definedName>
    <definedName name="____________________________________________________xl5" hidden="1">{"Actual Equipment",#N/A,FALSE,"BA D5"}</definedName>
    <definedName name="___________________________________________________xl5" hidden="1">{"Actual Equipment",#N/A,FALSE,"BA D5"}</definedName>
    <definedName name="__________________________________________________xl5" hidden="1">{"Actual Equipment",#N/A,FALSE,"BA D5"}</definedName>
    <definedName name="_________________________________________________xl5" hidden="1">{"Actual Equipment",#N/A,FALSE,"BA D5"}</definedName>
    <definedName name="________________________________________________xl5" hidden="1">{"Actual Equipment",#N/A,FALSE,"BA D5"}</definedName>
    <definedName name="_______________________________________________xl5" hidden="1">{"Actual Equipment",#N/A,FALSE,"BA D5"}</definedName>
    <definedName name="______________________________________________xl5" hidden="1">{"Actual Equipment",#N/A,FALSE,"BA D5"}</definedName>
    <definedName name="_____________________________________________xl5" hidden="1">{"Actual Equipment",#N/A,FALSE,"BA D5"}</definedName>
    <definedName name="____________________________________________xl5" hidden="1">{"Actual Equipment",#N/A,FALSE,"BA D5"}</definedName>
    <definedName name="___________________________________________xl5" hidden="1">{"Actual Equipment",#N/A,FALSE,"BA D5"}</definedName>
    <definedName name="__________________________________________xl5" hidden="1">{"Actual Equipment",#N/A,FALSE,"BA D5"}</definedName>
    <definedName name="_________________________________________xl5" hidden="1">{"Actual Equipment",#N/A,FALSE,"BA D5"}</definedName>
    <definedName name="________________________________________xl5" hidden="1">{"Actual Equipment",#N/A,FALSE,"BA D5"}</definedName>
    <definedName name="_______________________________________xl5" hidden="1">{"Actual Equipment",#N/A,FALSE,"BA D5"}</definedName>
    <definedName name="______________________________________xl5" hidden="1">{"Actual Equipment",#N/A,FALSE,"BA D5"}</definedName>
    <definedName name="_____________________________________xl5" hidden="1">{"Actual Equipment",#N/A,FALSE,"BA D5"}</definedName>
    <definedName name="____________________________________xl5" hidden="1">{"Actual Equipment",#N/A,FALSE,"BA D5"}</definedName>
    <definedName name="___________________________________xl5" hidden="1">{"Actual Equipment",#N/A,FALSE,"BA D5"}</definedName>
    <definedName name="__________________________________xl5" hidden="1">{"Actual Equipment",#N/A,FALSE,"BA D5"}</definedName>
    <definedName name="_________________________________xl5" hidden="1">{"Actual Equipment",#N/A,FALSE,"BA D5"}</definedName>
    <definedName name="________________________________xl5" hidden="1">{"Actual Equipment",#N/A,FALSE,"BA D5"}</definedName>
    <definedName name="_______________________________xl5" hidden="1">{"Actual Equipment",#N/A,FALSE,"BA D5"}</definedName>
    <definedName name="______________________________xl5" hidden="1">{"Actual Equipment",#N/A,FALSE,"BA D5"}</definedName>
    <definedName name="_____________________________xl5" hidden="1">{"Actual Equipment",#N/A,FALSE,"BA D5"}</definedName>
    <definedName name="____________________________xl5" hidden="1">{"Actual Equipment",#N/A,FALSE,"BA D5"}</definedName>
    <definedName name="___________________________xl5" hidden="1">{"Actual Equipment",#N/A,FALSE,"BA D5"}</definedName>
    <definedName name="__________________________xl5" hidden="1">{"Actual Equipment",#N/A,FALSE,"BA D5"}</definedName>
    <definedName name="_________________________xl5" hidden="1">{"Actual Equipment",#N/A,FALSE,"BA D5"}</definedName>
    <definedName name="________________________xl5" hidden="1">{"Actual Equipment",#N/A,FALSE,"BA D5"}</definedName>
    <definedName name="_______________________xl5" hidden="1">{"Actual Equipment",#N/A,FALSE,"BA D5"}</definedName>
    <definedName name="______________________xl5" hidden="1">{"Actual Equipment",#N/A,FALSE,"BA D5"}</definedName>
    <definedName name="_____________________xl5" hidden="1">{"Actual Equipment",#N/A,FALSE,"BA D5"}</definedName>
    <definedName name="____________________xl5" hidden="1">{"Actual Equipment",#N/A,FALSE,"BA D5"}</definedName>
    <definedName name="___________________xl5" hidden="1">{"Actual Equipment",#N/A,FALSE,"BA D5"}</definedName>
    <definedName name="__________________xl5" hidden="1">{"Actual Equipment",#N/A,FALSE,"BA D5"}</definedName>
    <definedName name="_________________xl5" hidden="1">{"Actual Equipment",#N/A,FALSE,"BA D5"}</definedName>
    <definedName name="________________a1" localSheetId="4">'C.C. '!________________a1</definedName>
    <definedName name="________________a1" localSheetId="19">'Demanda Trafo A'!________________a1</definedName>
    <definedName name="________________a1" localSheetId="22">factores!________________a1</definedName>
    <definedName name="________________a1" localSheetId="16">'H1-CUADRO DE CARGAS'!________________a1</definedName>
    <definedName name="________________a1" localSheetId="3">'PORTADA '!________________a1</definedName>
    <definedName name="________________a1" localSheetId="23">'Tablas Cables'!________________a1</definedName>
    <definedName name="________________a1">[0]!________________a1</definedName>
    <definedName name="________________xl5" hidden="1">{"Actual Equipment",#N/A,FALSE,"BA D5"}</definedName>
    <definedName name="_______________a1" localSheetId="4">'C.C. '!_______________a1</definedName>
    <definedName name="_______________a1" localSheetId="19">'Demanda Trafo A'!_______________a1</definedName>
    <definedName name="_______________a1" localSheetId="22">factores!_______________a1</definedName>
    <definedName name="_______________a1" localSheetId="16">'H1-CUADRO DE CARGAS'!_______________a1</definedName>
    <definedName name="_______________a1" localSheetId="3">'PORTADA '!_______________a1</definedName>
    <definedName name="_______________a1" localSheetId="23">'Tablas Cables'!_______________a1</definedName>
    <definedName name="_______________a1">[0]!_______________a1</definedName>
    <definedName name="_______________A2" hidden="1">{#N/A,#N/A,FALSE,"Costos Productos 6A";#N/A,#N/A,FALSE,"Costo Unitario Total H-94-12"}</definedName>
    <definedName name="_______________xl5" hidden="1">{"Actual Equipment",#N/A,FALSE,"BA D5"}</definedName>
    <definedName name="______________a1" localSheetId="4">'C.C. '!______________a1</definedName>
    <definedName name="______________a1" localSheetId="19">'Demanda Trafo A'!______________a1</definedName>
    <definedName name="______________a1" localSheetId="22">factores!______________a1</definedName>
    <definedName name="______________a1" localSheetId="16">'H1-CUADRO DE CARGAS'!______________a1</definedName>
    <definedName name="______________a1" localSheetId="3">'PORTADA '!______________a1</definedName>
    <definedName name="______________a1" localSheetId="23">'Tablas Cables'!______________a1</definedName>
    <definedName name="______________a1">[0]!______________a1</definedName>
    <definedName name="______________A2" hidden="1">{#N/A,#N/A,FALSE,"Costos Productos 6A";#N/A,#N/A,FALSE,"Costo Unitario Total H-94-12"}</definedName>
    <definedName name="______________xl5" hidden="1">{"Actual Equipment",#N/A,FALSE,"BA D5"}</definedName>
    <definedName name="_____________a1" localSheetId="4">'C.C. '!_____________a1</definedName>
    <definedName name="_____________a1" localSheetId="19">'Demanda Trafo A'!_____________a1</definedName>
    <definedName name="_____________a1" localSheetId="22">factores!_____________a1</definedName>
    <definedName name="_____________a1" localSheetId="16">'H1-CUADRO DE CARGAS'!_____________a1</definedName>
    <definedName name="_____________a1" localSheetId="3">'PORTADA '!_____________a1</definedName>
    <definedName name="_____________a1" localSheetId="23">'Tablas Cables'!_____________a1</definedName>
    <definedName name="_____________a1">[0]!_____________a1</definedName>
    <definedName name="_____________A2" hidden="1">{#N/A,#N/A,FALSE,"Costos Productos 6A";#N/A,#N/A,FALSE,"Costo Unitario Total H-94-12"}</definedName>
    <definedName name="_____________xl5" hidden="1">{"Actual Equipment",#N/A,FALSE,"BA D5"}</definedName>
    <definedName name="____________a1" localSheetId="4">'C.C. '!____________a1</definedName>
    <definedName name="____________a1" localSheetId="19">'Demanda Trafo A'!____________a1</definedName>
    <definedName name="____________a1" localSheetId="22">factores!____________a1</definedName>
    <definedName name="____________a1" localSheetId="16">'H1-CUADRO DE CARGAS'!____________a1</definedName>
    <definedName name="____________a1" localSheetId="3">'PORTADA '!____________a1</definedName>
    <definedName name="____________a1" localSheetId="23">'Tablas Cables'!____________a1</definedName>
    <definedName name="____________a1">[0]!____________a1</definedName>
    <definedName name="____________xl5" hidden="1">{"Actual Equipment",#N/A,FALSE,"BA D5"}</definedName>
    <definedName name="___________a1" localSheetId="4">'C.C. '!___________a1</definedName>
    <definedName name="___________a1" localSheetId="19">'Demanda Trafo A'!___________a1</definedName>
    <definedName name="___________a1" localSheetId="22">factores!___________a1</definedName>
    <definedName name="___________a1" localSheetId="16">'H1-CUADRO DE CARGAS'!___________a1</definedName>
    <definedName name="___________a1" localSheetId="3">'PORTADA '!___________a1</definedName>
    <definedName name="___________a1" localSheetId="23">'Tablas Cables'!___________a1</definedName>
    <definedName name="___________a1">[0]!___________a1</definedName>
    <definedName name="___________A2" hidden="1">{#N/A,#N/A,FALSE,"Costos Productos 6A";#N/A,#N/A,FALSE,"Costo Unitario Total H-94-12"}</definedName>
    <definedName name="___________xl5" hidden="1">{"Actual Equipment",#N/A,FALSE,"BA D5"}</definedName>
    <definedName name="__________a1" localSheetId="4">'C.C. '!__________a1</definedName>
    <definedName name="__________a1" localSheetId="19">'Demanda Trafo A'!__________a1</definedName>
    <definedName name="__________a1" localSheetId="22">factores!__________a1</definedName>
    <definedName name="__________a1" localSheetId="16">'H1-CUADRO DE CARGAS'!__________a1</definedName>
    <definedName name="__________a1" localSheetId="3">'PORTADA '!__________a1</definedName>
    <definedName name="__________a1" localSheetId="23">'Tablas Cables'!__________a1</definedName>
    <definedName name="__________a1">[0]!__________a1</definedName>
    <definedName name="__________xl5" hidden="1">{"Actual Equipment",#N/A,FALSE,"BA D5"}</definedName>
    <definedName name="_________a1" localSheetId="4">'C.C. '!_________a1</definedName>
    <definedName name="_________a1" localSheetId="19">'Demanda Trafo A'!_________a1</definedName>
    <definedName name="_________a1" localSheetId="22">factores!_________a1</definedName>
    <definedName name="_________a1" localSheetId="16">'H1-CUADRO DE CARGAS'!_________a1</definedName>
    <definedName name="_________a1" localSheetId="3">'PORTADA '!_________a1</definedName>
    <definedName name="_________a1" localSheetId="23">'Tablas Cables'!_________a1</definedName>
    <definedName name="_________a1">[0]!_________a1</definedName>
    <definedName name="_________A2" hidden="1">{#N/A,#N/A,FALSE,"Costos Productos 6A";#N/A,#N/A,FALSE,"Costo Unitario Total H-94-12"}</definedName>
    <definedName name="_________xl5" hidden="1">{"Actual Equipment",#N/A,FALSE,"BA D5"}</definedName>
    <definedName name="________a1" localSheetId="4">'C.C. '!________a1</definedName>
    <definedName name="________a1" localSheetId="19">'Demanda Trafo A'!________a1</definedName>
    <definedName name="________a1" localSheetId="22">factores!________a1</definedName>
    <definedName name="________a1" localSheetId="16">'H1-CUADRO DE CARGAS'!________a1</definedName>
    <definedName name="________a1" localSheetId="3">'PORTADA '!________a1</definedName>
    <definedName name="________a1" localSheetId="23">'Tablas Cables'!________a1</definedName>
    <definedName name="________a1">[0]!________a1</definedName>
    <definedName name="________A2" hidden="1">{#N/A,#N/A,FALSE,"Costos Productos 6A";#N/A,#N/A,FALSE,"Costo Unitario Total H-94-12"}</definedName>
    <definedName name="________xl5" hidden="1">{"Actual Equipment",#N/A,FALSE,"BA D5"}</definedName>
    <definedName name="_______a1" localSheetId="4">'C.C. '!_______a1</definedName>
    <definedName name="_______a1" localSheetId="19">'Demanda Trafo A'!_______a1</definedName>
    <definedName name="_______a1" localSheetId="22">factores!_______a1</definedName>
    <definedName name="_______a1" localSheetId="16">'H1-CUADRO DE CARGAS'!_______a1</definedName>
    <definedName name="_______a1" localSheetId="3">'PORTADA '!_______a1</definedName>
    <definedName name="_______a1" localSheetId="23">'Tablas Cables'!_______a1</definedName>
    <definedName name="_______a1">[0]!_______a1</definedName>
    <definedName name="_______A2" hidden="1">{#N/A,#N/A,FALSE,"Costos Productos 6A";#N/A,#N/A,FALSE,"Costo Unitario Total H-94-12"}</definedName>
    <definedName name="_______xl5" hidden="1">{"Actual Equipment",#N/A,FALSE,"BA D5"}</definedName>
    <definedName name="______a1" localSheetId="4">'C.C. '!______a1</definedName>
    <definedName name="______a1" localSheetId="19">'Demanda Trafo A'!______a1</definedName>
    <definedName name="______a1" localSheetId="22">factores!______a1</definedName>
    <definedName name="______a1" localSheetId="16">'H1-CUADRO DE CARGAS'!______a1</definedName>
    <definedName name="______a1" localSheetId="3">'PORTADA '!______a1</definedName>
    <definedName name="______a1" localSheetId="23">'Tablas Cables'!______a1</definedName>
    <definedName name="______a1">[0]!______a1</definedName>
    <definedName name="______A2" hidden="1">{#N/A,#N/A,FALSE,"Costos Productos 6A";#N/A,#N/A,FALSE,"Costo Unitario Total H-94-12"}</definedName>
    <definedName name="______xl5" hidden="1">{"Actual Equipment",#N/A,FALSE,"BA D5"}</definedName>
    <definedName name="_____a1" localSheetId="4">'C.C. '!_____a1</definedName>
    <definedName name="_____a1" localSheetId="19">'Demanda Trafo A'!_____a1</definedName>
    <definedName name="_____a1" localSheetId="22">factores!_____a1</definedName>
    <definedName name="_____a1" localSheetId="16">'H1-CUADRO DE CARGAS'!_____a1</definedName>
    <definedName name="_____a1" localSheetId="3">'PORTADA '!_____a1</definedName>
    <definedName name="_____a1" localSheetId="23">'Tablas Cables'!_____a1</definedName>
    <definedName name="_____a1">[0]!_____a1</definedName>
    <definedName name="_____A2" hidden="1">{#N/A,#N/A,FALSE,"Costos Productos 6A";#N/A,#N/A,FALSE,"Costo Unitario Total H-94-12"}</definedName>
    <definedName name="_____AAS1" hidden="1">{#N/A,#N/A,TRUE,"INGENIERIA";#N/A,#N/A,TRUE,"COMPRAS";#N/A,#N/A,TRUE,"DIRECCION";#N/A,#N/A,TRUE,"RESUMEN"}</definedName>
    <definedName name="_____ABC1" hidden="1">{#N/A,#N/A,TRUE,"1842CWN0"}</definedName>
    <definedName name="_____abc2" hidden="1">{#N/A,#N/A,TRUE,"1842CWN0"}</definedName>
    <definedName name="_____xl5" hidden="1">{"Actual Equipment",#N/A,FALSE,"BA D5"}</definedName>
    <definedName name="____1__xl5" hidden="1">{"Actual Equipment",#N/A,FALSE,"BA D5"}</definedName>
    <definedName name="____a1" localSheetId="4">'C.C. '!____a1</definedName>
    <definedName name="____a1" localSheetId="19">'Demanda Trafo A'!____a1</definedName>
    <definedName name="____a1" localSheetId="22">factores!____a1</definedName>
    <definedName name="____a1" localSheetId="16">'H1-CUADRO DE CARGAS'!____a1</definedName>
    <definedName name="____a1" localSheetId="3">'PORTADA '!____a1</definedName>
    <definedName name="____a1" localSheetId="23">'Tablas Cables'!____a1</definedName>
    <definedName name="____a1">[0]!____a1</definedName>
    <definedName name="____A2" hidden="1">{#N/A,#N/A,FALSE,"Costos Productos 6A";#N/A,#N/A,FALSE,"Costo Unitario Total H-94-12"}</definedName>
    <definedName name="____AAS1" hidden="1">{#N/A,#N/A,TRUE,"INGENIERIA";#N/A,#N/A,TRUE,"COMPRAS";#N/A,#N/A,TRUE,"DIRECCION";#N/A,#N/A,TRUE,"RESUMEN"}</definedName>
    <definedName name="____ABC1" hidden="1">{#N/A,#N/A,TRUE,"1842CWN0"}</definedName>
    <definedName name="____abc2" hidden="1">{#N/A,#N/A,TRUE,"1842CWN0"}</definedName>
    <definedName name="____QA1" hidden="1">#REF!</definedName>
    <definedName name="____xl5" hidden="1">{"Actual Equipment",#N/A,FALSE,"BA D5"}</definedName>
    <definedName name="___1__xl5" hidden="1">{"Actual Equipment",#N/A,FALSE,"BA D5"}</definedName>
    <definedName name="___a1" localSheetId="4">'C.C. '!___a1</definedName>
    <definedName name="___a1" localSheetId="19">'Demanda Trafo A'!___a1</definedName>
    <definedName name="___a1" localSheetId="22">factores!___a1</definedName>
    <definedName name="___a1" localSheetId="16">'H1-CUADRO DE CARGAS'!___a1</definedName>
    <definedName name="___a1" localSheetId="3">'PORTADA '!___a1</definedName>
    <definedName name="___a1" localSheetId="23">'Tablas Cables'!___a1</definedName>
    <definedName name="___a1">[0]!___a1</definedName>
    <definedName name="___A2" hidden="1">{#N/A,#N/A,FALSE,"Costos Productos 6A";#N/A,#N/A,FALSE,"Costo Unitario Total H-94-12"}</definedName>
    <definedName name="___AAS1" hidden="1">{#N/A,#N/A,TRUE,"INGENIERIA";#N/A,#N/A,TRUE,"COMPRAS";#N/A,#N/A,TRUE,"DIRECCION";#N/A,#N/A,TRUE,"RESUMEN"}</definedName>
    <definedName name="___ABC1" hidden="1">{#N/A,#N/A,TRUE,"1842CWN0"}</definedName>
    <definedName name="___abc2" hidden="1">{#N/A,#N/A,TRUE,"1842CWN0"}</definedName>
    <definedName name="___QA1" hidden="1">#REF!</definedName>
    <definedName name="___xl5" hidden="1">{"Actual Equipment",#N/A,FALSE,"BA D5"}</definedName>
    <definedName name="___xlcn.WorksheetConnection_Hoja2AE1" hidden="1">#REF!</definedName>
    <definedName name="___xlcn.WorksheetConnection_Hoja3AE1" hidden="1">#REF!</definedName>
    <definedName name="___xlcn.WorksheetConnection_Hoja3AE11" hidden="1">#REF!</definedName>
    <definedName name="___xlcn.WorksheetConnection_Hoja5AE1" hidden="1">#REF!</definedName>
    <definedName name="___xlcn.WorksheetConnection_OPERAI1" hidden="1">#REF!</definedName>
    <definedName name="___xlcn.WorksheetConnection_PACIFICAI1" hidden="1">#REF!</definedName>
    <definedName name="___xlcn.WorksheetConnection_PACIFICAI11" hidden="1">#REF!</definedName>
    <definedName name="__1__xl5" hidden="1">{"Actual Equipment",#N/A,FALSE,"BA D5"}</definedName>
    <definedName name="__123Graph_A" localSheetId="22" hidden="1">#REF!</definedName>
    <definedName name="__123Graph_A" localSheetId="23" hidden="1">#REF!</definedName>
    <definedName name="__123Graph_A" hidden="1">#REF!</definedName>
    <definedName name="__123Graph_AFRQACIRR" hidden="1">#REF!</definedName>
    <definedName name="__123Graph_AFRQACNPV" hidden="1">#REF!</definedName>
    <definedName name="__123Graph_AFRQACRES" hidden="1">#REF!</definedName>
    <definedName name="__123Graph_AGraph2" hidden="1">#REF!</definedName>
    <definedName name="__123Graph_AGRAPH3" hidden="1">#REF!</definedName>
    <definedName name="__123Graph_AGRAPH4" hidden="1">#REF!</definedName>
    <definedName name="__123Graph_AHSTGIRR" hidden="1">#REF!</definedName>
    <definedName name="__123Graph_AHSTGNPV" hidden="1">#REF!</definedName>
    <definedName name="__123Graph_AHSTGRES" hidden="1">#REF!</definedName>
    <definedName name="__123Graph_ANET" hidden="1">#REF!</definedName>
    <definedName name="__123Graph_AREVENUE" hidden="1">#REF!</definedName>
    <definedName name="__123Graph_AWINDOWS" hidden="1">#REF!</definedName>
    <definedName name="__123Graph_B" localSheetId="22" hidden="1">#REF!</definedName>
    <definedName name="__123Graph_B" localSheetId="23" hidden="1">#REF!</definedName>
    <definedName name="__123Graph_B" hidden="1">#REF!</definedName>
    <definedName name="__123Graph_BGDPTRKRTM" hidden="1">#REF!</definedName>
    <definedName name="__123Graph_BNET" hidden="1">#REF!</definedName>
    <definedName name="__123Graph_BREVENUE" hidden="1">#REF!</definedName>
    <definedName name="__123Graph_C" localSheetId="22" hidden="1">#REF!</definedName>
    <definedName name="__123Graph_C" localSheetId="23" hidden="1">#REF!</definedName>
    <definedName name="__123Graph_C" hidden="1">#REF!</definedName>
    <definedName name="__123Graph_CINDICES" hidden="1">#REF!</definedName>
    <definedName name="__123Graph_CNET" hidden="1">#REF!</definedName>
    <definedName name="__123Graph_CREVENUE" hidden="1">#REF!</definedName>
    <definedName name="__123Graph_D" localSheetId="22" hidden="1">#REF!</definedName>
    <definedName name="__123Graph_D" hidden="1">#REF!</definedName>
    <definedName name="__123Graph_DNET" hidden="1">#REF!</definedName>
    <definedName name="__123Graph_X" hidden="1">#REF!</definedName>
    <definedName name="__123Graph_XFRQACNPV" hidden="1">#REF!</definedName>
    <definedName name="__123Graph_XFRQACRES" hidden="1">#REF!</definedName>
    <definedName name="__123Graph_XGRAPH3" hidden="1">#REF!</definedName>
    <definedName name="__123Graph_XNET" hidden="1">#REF!</definedName>
    <definedName name="__123Graph_XREVENUE" hidden="1">#REF!</definedName>
    <definedName name="__151_____________________________________________________________________________________________________________________________123Graph_AGráfico_4A" hidden="1">#REF!</definedName>
    <definedName name="__152_____________________________________________________________________________________________________________________________123Graph_BGráfico_4A" hidden="1">#REF!</definedName>
    <definedName name="__153_____________________________________________________________________________________________________________________________123Graph_XGráfico_4A" hidden="1">#REF!</definedName>
    <definedName name="__154____________________________________________________________________________________________________________________________123Graph_AGráfico_4A" hidden="1">#REF!</definedName>
    <definedName name="__155____________________________________________________________________________________________________________________________123Graph_BGráfico_4A" hidden="1">#REF!</definedName>
    <definedName name="__156____________________________________________________________________________________________________________________________123Graph_XGráfico_4A" hidden="1">#REF!</definedName>
    <definedName name="__157___________________________________________________________________________________________________________________________123Graph_AGráfico_4A" hidden="1">#REF!</definedName>
    <definedName name="__158___________________________________________________________________________________________________________________________123Graph_BGráfico_4A" hidden="1">#REF!</definedName>
    <definedName name="__159___________________________________________________________________________________________________________________________123Graph_XGráfico_4A" hidden="1">#REF!</definedName>
    <definedName name="__160__________________________________________________________________________________________________________________________123Graph_AGráfico_4A" hidden="1">#REF!</definedName>
    <definedName name="__161__________________________________________________________________________________________________________________________123Graph_BGráfico_4A" hidden="1">#REF!</definedName>
    <definedName name="__162__________________________________________________________________________________________________________________________123Graph_XGráfico_4A" hidden="1">#REF!</definedName>
    <definedName name="__163_________________________________________________________________________________________________________________________123Graph_AGráfico_4A" hidden="1">#REF!</definedName>
    <definedName name="__164_________________________________________________________________________________________________________________________123Graph_BGráfico_4A" hidden="1">#REF!</definedName>
    <definedName name="__165_________________________________________________________________________________________________________________________123Graph_XGráfico_4A" hidden="1">#REF!</definedName>
    <definedName name="__166________________________________________________________________________________________________________________________123Graph_AGráfico_4A" hidden="1">#REF!</definedName>
    <definedName name="__167________________________________________________________________________________________________________________________123Graph_BGráfico_4A" hidden="1">#REF!</definedName>
    <definedName name="__168________________________________________________________________________________________________________________________123Graph_XGráfico_4A" hidden="1">#REF!</definedName>
    <definedName name="__169_______________________________________________________________________________________________________________________123Graph_AGráfico_4A" hidden="1">#REF!</definedName>
    <definedName name="__170_______________________________________________________________________________________________________________________123Graph_BGráfico_4A" hidden="1">#REF!</definedName>
    <definedName name="__171_______________________________________________________________________________________________________________________123Graph_XGráfico_4A" hidden="1">#REF!</definedName>
    <definedName name="__172______________________________________________________________________________________________________________________123Graph_AGráfico_4A" hidden="1">#REF!</definedName>
    <definedName name="__173______________________________________________________________________________________________________________________123Graph_BGráfico_4A" hidden="1">#REF!</definedName>
    <definedName name="__174______________________________________________________________________________________________________________________123Graph_XGráfico_4A" hidden="1">#REF!</definedName>
    <definedName name="__175_____________________________________________________________________________________________________________________123Graph_AGráfico_4A" hidden="1">#REF!</definedName>
    <definedName name="__176_____________________________________________________________________________________________________________________123Graph_BGráfico_4A" hidden="1">#REF!</definedName>
    <definedName name="__177_____________________________________________________________________________________________________________________123Graph_XGráfico_4A" hidden="1">#REF!</definedName>
    <definedName name="__178____________________________________________________________________________________________________________________123Graph_AGráfico_4A" hidden="1">#REF!</definedName>
    <definedName name="__179____________________________________________________________________________________________________________________123Graph_BGráfico_4A" hidden="1">#REF!</definedName>
    <definedName name="__180____________________________________________________________________________________________________________________123Graph_XGráfico_4A" hidden="1">#REF!</definedName>
    <definedName name="__181___________________________________________________________________________________________________________________123Graph_AGráfico_4A" hidden="1">#REF!</definedName>
    <definedName name="__182___________________________________________________________________________________________________________________123Graph_BGráfico_4A" hidden="1">#REF!</definedName>
    <definedName name="__183___________________________________________________________________________________________________________________123Graph_XGráfico_4A" hidden="1">#REF!</definedName>
    <definedName name="__184__________________________________________________________________________________________________________________123Graph_AGráfico_4A" hidden="1">#REF!</definedName>
    <definedName name="__185__________________________________________________________________________________________________________________123Graph_BGráfico_4A" hidden="1">#REF!</definedName>
    <definedName name="__186__________________________________________________________________________________________________________________123Graph_XGráfico_4A" hidden="1">#REF!</definedName>
    <definedName name="__187_________________________________________________________________________________________________________________123Graph_AGráfico_4A" hidden="1">#REF!</definedName>
    <definedName name="__188_________________________________________________________________________________________________________________123Graph_BGráfico_4A" hidden="1">#REF!</definedName>
    <definedName name="__189_________________________________________________________________________________________________________________123Graph_XGráfico_4A" hidden="1">#REF!</definedName>
    <definedName name="__190________________________________________________________________________________________________________________123Graph_AGráfico_4A" hidden="1">#REF!</definedName>
    <definedName name="__191________________________________________________________________________________________________________________123Graph_BGráfico_4A" hidden="1">#REF!</definedName>
    <definedName name="__192________________________________________________________________________________________________________________123Graph_XGráfico_4A" hidden="1">#REF!</definedName>
    <definedName name="__193_______________________________________________________________________________________________________________123Graph_AGráfico_4A" hidden="1">#REF!</definedName>
    <definedName name="__194_______________________________________________________________________________________________________________123Graph_BGráfico_4A" hidden="1">#REF!</definedName>
    <definedName name="__195_______________________________________________________________________________________________________________123Graph_XGráfico_4A" hidden="1">#REF!</definedName>
    <definedName name="__196______________________________________________________________________________________________________________123Graph_AGráfico_4A" hidden="1">#REF!</definedName>
    <definedName name="__197______________________________________________________________________________________________________________123Graph_BGráfico_4A" hidden="1">#REF!</definedName>
    <definedName name="__198______________________________________________________________________________________________________________123Graph_XGráfico_4A" hidden="1">#REF!</definedName>
    <definedName name="__199_____________________________________________________________________________________________________________123Graph_AGráfico_4A" hidden="1">#REF!</definedName>
    <definedName name="__200_____________________________________________________________________________________________________________123Graph_BGráfico_4A" hidden="1">#REF!</definedName>
    <definedName name="__201_____________________________________________________________________________________________________________123Graph_XGráfico_4A" hidden="1">#REF!</definedName>
    <definedName name="__202____________________________________________________________________________________________________________123Graph_AGráfico_4A" hidden="1">#REF!</definedName>
    <definedName name="__203____________________________________________________________________________________________________________123Graph_BGráfico_4A" hidden="1">#REF!</definedName>
    <definedName name="__204____________________________________________________________________________________________________________123Graph_XGráfico_4A" hidden="1">#REF!</definedName>
    <definedName name="__205___________________________________________________________________________________________________________123Graph_AGráfico_4A" hidden="1">#REF!</definedName>
    <definedName name="__206___________________________________________________________________________________________________________123Graph_BGráfico_4A" hidden="1">#REF!</definedName>
    <definedName name="__207___________________________________________________________________________________________________________123Graph_XGráfico_4A" hidden="1">#REF!</definedName>
    <definedName name="__208__________________________________________________________________________________________________________123Graph_AGráfico_4A" hidden="1">#REF!</definedName>
    <definedName name="__209__________________________________________________________________________________________________________123Graph_BGráfico_4A" hidden="1">#REF!</definedName>
    <definedName name="__210__________________________________________________________________________________________________________123Graph_XGráfico_4A" hidden="1">#REF!</definedName>
    <definedName name="__211_________________________________________________________________________________________________________123Graph_AGráfico_4A" hidden="1">#REF!</definedName>
    <definedName name="__212_________________________________________________________________________________________________________123Graph_BGráfico_4A" hidden="1">#REF!</definedName>
    <definedName name="__213_________________________________________________________________________________________________________123Graph_XGráfico_4A" hidden="1">#REF!</definedName>
    <definedName name="__214________________________________________________________________________________________________________123Graph_AGráfico_4A" hidden="1">#REF!</definedName>
    <definedName name="__215________________________________________________________________________________________________________123Graph_BGráfico_4A" hidden="1">#REF!</definedName>
    <definedName name="__216________________________________________________________________________________________________________123Graph_XGráfico_4A" hidden="1">#REF!</definedName>
    <definedName name="__217_______________________________________________________________________________________________________123Graph_AGráfico_4A" hidden="1">#REF!</definedName>
    <definedName name="__218_______________________________________________________________________________________________________123Graph_BGráfico_4A" hidden="1">#REF!</definedName>
    <definedName name="__219_______________________________________________________________________________________________________123Graph_XGráfico_4A" hidden="1">#REF!</definedName>
    <definedName name="__220______________________________________________________________________________________________________123Graph_AGráfico_4A" hidden="1">#REF!</definedName>
    <definedName name="__221______________________________________________________________________________________________________123Graph_BGráfico_4A" hidden="1">#REF!</definedName>
    <definedName name="__222______________________________________________________________________________________________________123Graph_XGráfico_4A" hidden="1">#REF!</definedName>
    <definedName name="__223_____________________________________________________________________________________________________123Graph_AGráfico_4A" hidden="1">#REF!</definedName>
    <definedName name="__224_____________________________________________________________________________________________________123Graph_BGráfico_4A" hidden="1">#REF!</definedName>
    <definedName name="__225_____________________________________________________________________________________________________123Graph_XGráfico_4A" hidden="1">#REF!</definedName>
    <definedName name="__226____________________________________________________________________________________________________123Graph_AGráfico_4A" hidden="1">#REF!</definedName>
    <definedName name="__227____________________________________________________________________________________________________123Graph_BGráfico_4A" hidden="1">#REF!</definedName>
    <definedName name="__228____________________________________________________________________________________________________123Graph_XGráfico_4A" hidden="1">#REF!</definedName>
    <definedName name="__229___________________________________________________________________________________________________123Graph_AGráfico_4A" hidden="1">#REF!</definedName>
    <definedName name="__230___________________________________________________________________________________________________123Graph_BGráfico_4A" hidden="1">#REF!</definedName>
    <definedName name="__231___________________________________________________________________________________________________123Graph_XGráfico_4A" hidden="1">#REF!</definedName>
    <definedName name="__232__________________________________________________________________________________________________123Graph_AGráfico_4A" hidden="1">#REF!</definedName>
    <definedName name="__233__________________________________________________________________________________________________123Graph_BGráfico_4A" hidden="1">#REF!</definedName>
    <definedName name="__234__________________________________________________________________________________________________123Graph_XGráfico_4A" hidden="1">#REF!</definedName>
    <definedName name="__235_________________________________________________________________________________________________123Graph_AGráfico_4A" hidden="1">#REF!</definedName>
    <definedName name="__236_________________________________________________________________________________________________123Graph_BGráfico_4A" hidden="1">#REF!</definedName>
    <definedName name="__237_________________________________________________________________________________________________123Graph_XGráfico_4A" hidden="1">#REF!</definedName>
    <definedName name="__238________________________________________________________________________________________________123Graph_AGráfico_4A" hidden="1">#REF!</definedName>
    <definedName name="__239________________________________________________________________________________________________123Graph_BGráfico_4A" hidden="1">#REF!</definedName>
    <definedName name="__240________________________________________________________________________________________________123Graph_XGráfico_4A" hidden="1">#REF!</definedName>
    <definedName name="__241_______________________________________________________________________________________________123Graph_AGráfico_4A" hidden="1">#REF!</definedName>
    <definedName name="__242_______________________________________________________________________________________________123Graph_BGráfico_4A" hidden="1">#REF!</definedName>
    <definedName name="__243_______________________________________________________________________________________________123Graph_XGráfico_4A" hidden="1">#REF!</definedName>
    <definedName name="__244______________________________________________________________________________________________123Graph_AGráfico_4A" hidden="1">#REF!</definedName>
    <definedName name="__245______________________________________________________________________________________________123Graph_BGráfico_4A" hidden="1">#REF!</definedName>
    <definedName name="__246______________________________________________________________________________________________123Graph_XGráfico_4A" hidden="1">#REF!</definedName>
    <definedName name="__247_____________________________________________________________________________________________123Graph_AGráfico_4A" hidden="1">#REF!</definedName>
    <definedName name="__248_____________________________________________________________________________________________123Graph_BGráfico_4A" hidden="1">#REF!</definedName>
    <definedName name="__249_____________________________________________________________________________________________123Graph_XGráfico_4A" hidden="1">#REF!</definedName>
    <definedName name="__250____________________________________________________________________________________________123Graph_AGráfico_4A" hidden="1">#REF!</definedName>
    <definedName name="__251____________________________________________________________________________________________123Graph_BGráfico_4A" hidden="1">#REF!</definedName>
    <definedName name="__252____________________________________________________________________________________________123Graph_XGráfico_4A" hidden="1">#REF!</definedName>
    <definedName name="__253___________________________________________________________________________________________123Graph_AGráfico_4A" hidden="1">#REF!</definedName>
    <definedName name="__254___________________________________________________________________________________________123Graph_BGráfico_4A" hidden="1">#REF!</definedName>
    <definedName name="__255___________________________________________________________________________________________123Graph_XGráfico_4A" hidden="1">#REF!</definedName>
    <definedName name="__256__________________________________________________________________________________________123Graph_AGráfico_4A" hidden="1">#REF!</definedName>
    <definedName name="__257__________________________________________________________________________________________123Graph_BGráfico_4A" hidden="1">#REF!</definedName>
    <definedName name="__258__________________________________________________________________________________________123Graph_XGráfico_4A" hidden="1">#REF!</definedName>
    <definedName name="__259_________________________________________________________________________________________123Graph_AGráfico_4A" hidden="1">#REF!</definedName>
    <definedName name="__260_________________________________________________________________________________________123Graph_BGráfico_4A" hidden="1">#REF!</definedName>
    <definedName name="__261_________________________________________________________________________________________123Graph_XGráfico_4A" hidden="1">#REF!</definedName>
    <definedName name="__262________________________________________________________________________________________123Graph_AGráfico_4A" hidden="1">#REF!</definedName>
    <definedName name="__263________________________________________________________________________________________123Graph_BGráfico_4A" hidden="1">#REF!</definedName>
    <definedName name="__264________________________________________________________________________________________123Graph_XGráfico_4A" hidden="1">#REF!</definedName>
    <definedName name="__265_______________________________________________________________________________________123Graph_AGráfico_4A" hidden="1">#REF!</definedName>
    <definedName name="__266_______________________________________________________________________________________123Graph_BGráfico_4A" hidden="1">#REF!</definedName>
    <definedName name="__267_______________________________________________________________________________________123Graph_XGráfico_4A" hidden="1">#REF!</definedName>
    <definedName name="__268______________________________________________________________________________________123Graph_AGráfico_4A" hidden="1">#REF!</definedName>
    <definedName name="__269______________________________________________________________________________________123Graph_BGráfico_4A" hidden="1">#REF!</definedName>
    <definedName name="__270______________________________________________________________________________________123Graph_XGráfico_4A" hidden="1">#REF!</definedName>
    <definedName name="__271_____________________________________________________________________________________123Graph_AGráfico_4A" hidden="1">#REF!</definedName>
    <definedName name="__272_____________________________________________________________________________________123Graph_BGráfico_4A" hidden="1">#REF!</definedName>
    <definedName name="__273_____________________________________________________________________________________123Graph_XGráfico_4A" hidden="1">#REF!</definedName>
    <definedName name="__274____________________________________________________________________________________123Graph_AGráfico_4A" hidden="1">#REF!</definedName>
    <definedName name="__275____________________________________________________________________________________123Graph_BGráfico_4A" hidden="1">#REF!</definedName>
    <definedName name="__276____________________________________________________________________________________123Graph_XGráfico_4A" hidden="1">#REF!</definedName>
    <definedName name="__277___________________________________________________________________________________123Graph_AGráfico_4A" hidden="1">#REF!</definedName>
    <definedName name="__278___________________________________________________________________________________123Graph_BGráfico_4A" hidden="1">#REF!</definedName>
    <definedName name="__279___________________________________________________________________________________123Graph_XGráfico_4A" hidden="1">#REF!</definedName>
    <definedName name="__280__________________________________________________________________________________123Graph_AGráfico_4A" hidden="1">#REF!</definedName>
    <definedName name="__281__________________________________________________________________________________123Graph_BGráfico_4A" hidden="1">#REF!</definedName>
    <definedName name="__282__________________________________________________________________________________123Graph_XGráfico_4A" hidden="1">#REF!</definedName>
    <definedName name="__283_________________________________________________________________________________123Graph_AGráfico_4A" hidden="1">#REF!</definedName>
    <definedName name="__284_________________________________________________________________________________123Graph_BGráfico_4A" hidden="1">#REF!</definedName>
    <definedName name="__285_________________________________________________________________________________123Graph_XGráfico_4A" hidden="1">#REF!</definedName>
    <definedName name="__286________________________________________________________________________________123Graph_AGráfico_4A" hidden="1">#REF!</definedName>
    <definedName name="__287________________________________________________________________________________123Graph_BGráfico_4A" hidden="1">#REF!</definedName>
    <definedName name="__288________________________________________________________________________________123Graph_XGráfico_4A" hidden="1">#REF!</definedName>
    <definedName name="__289_______________________________________________________________________________123Graph_AGráfico_4A" hidden="1">#REF!</definedName>
    <definedName name="__290_______________________________________________________________________________123Graph_BGráfico_4A" hidden="1">#REF!</definedName>
    <definedName name="__291_______________________________________________________________________________123Graph_XGráfico_4A" hidden="1">#REF!</definedName>
    <definedName name="__292______________________________________________________________________________123Graph_AGráfico_4A" hidden="1">#REF!</definedName>
    <definedName name="__293______________________________________________________________________________123Graph_BGráfico_4A" hidden="1">#REF!</definedName>
    <definedName name="__294______________________________________________________________________________123Graph_XGráfico_4A" hidden="1">#REF!</definedName>
    <definedName name="__295_____________________________________________________________________________123Graph_AGráfico_4A" hidden="1">#REF!</definedName>
    <definedName name="__296_____________________________________________________________________________123Graph_BGráfico_4A" hidden="1">#REF!</definedName>
    <definedName name="__297_____________________________________________________________________________123Graph_XGráfico_4A" hidden="1">#REF!</definedName>
    <definedName name="__298____________________________________________________________________________123Graph_AGráfico_4A" hidden="1">#REF!</definedName>
    <definedName name="__299____________________________________________________________________________123Graph_BGráfico_4A" hidden="1">#REF!</definedName>
    <definedName name="__300____________________________________________________________________________123Graph_XGráfico_4A" hidden="1">#REF!</definedName>
    <definedName name="__301___________________________________________________________________________123Graph_AGráfico_4A" hidden="1">#REF!</definedName>
    <definedName name="__302___________________________________________________________________________123Graph_BGráfico_4A" hidden="1">#REF!</definedName>
    <definedName name="__303___________________________________________________________________________123Graph_XGráfico_4A" hidden="1">#REF!</definedName>
    <definedName name="__304__________________________________________________________________________123Graph_AGráfico_4A" hidden="1">#REF!</definedName>
    <definedName name="__305__________________________________________________________________________123Graph_BGráfico_4A" hidden="1">#REF!</definedName>
    <definedName name="__306__________________________________________________________________________123Graph_XGráfico_4A" hidden="1">#REF!</definedName>
    <definedName name="__307_________________________________________________________________________123Graph_AGráfico_4A" hidden="1">#REF!</definedName>
    <definedName name="__308_________________________________________________________________________123Graph_BGráfico_4A" hidden="1">#REF!</definedName>
    <definedName name="__309_________________________________________________________________________123Graph_XGráfico_4A" hidden="1">#REF!</definedName>
    <definedName name="__310________________________________________________________________________123Graph_AGráfico_4A" hidden="1">#REF!</definedName>
    <definedName name="__311________________________________________________________________________123Graph_BGráfico_4A" hidden="1">#REF!</definedName>
    <definedName name="__312________________________________________________________________________123Graph_XGráfico_4A" hidden="1">#REF!</definedName>
    <definedName name="__313_______________________________________________________________________123Graph_AGráfico_4A" hidden="1">#REF!</definedName>
    <definedName name="__314_______________________________________________________________________123Graph_BGráfico_4A" hidden="1">#REF!</definedName>
    <definedName name="__315_______________________________________________________________________123Graph_XGráfico_4A" hidden="1">#REF!</definedName>
    <definedName name="__316______________________________________________________________________123Graph_AGráfico_4A" hidden="1">#REF!</definedName>
    <definedName name="__317______________________________________________________________________123Graph_BGráfico_4A" hidden="1">#REF!</definedName>
    <definedName name="__318______________________________________________________________________123Graph_XGráfico_4A" hidden="1">#REF!</definedName>
    <definedName name="__319_____________________________________________________________________123Graph_AGráfico_4A" hidden="1">#REF!</definedName>
    <definedName name="__320_____________________________________________________________________123Graph_BGráfico_4A" hidden="1">#REF!</definedName>
    <definedName name="__321_____________________________________________________________________123Graph_XGráfico_4A" hidden="1">#REF!</definedName>
    <definedName name="__323____________________________________________________________________123Graph_AGráfico_4A" hidden="1">#REF!</definedName>
    <definedName name="__324____________________________________________________________________123Graph_BGráfico_4A" hidden="1">#REF!</definedName>
    <definedName name="__325____________________________________________________________________123Graph_XGráfico_4A" hidden="1">#REF!</definedName>
    <definedName name="__326____________________________________________________________________4_0__123Grap" hidden="1">#REF!</definedName>
    <definedName name="__331____________________________________________________________________B_0__123Graph_XGráfico" hidden="1">#REF!</definedName>
    <definedName name="__334___________________________________________________________________123Graph_AGráfico_4A" hidden="1">#REF!</definedName>
    <definedName name="__335___________________________________________________________________123Graph_BGráfico_4A" hidden="1">#REF!</definedName>
    <definedName name="__336___________________________________________________________________123Graph_XGráfico_4A" hidden="1">#REF!</definedName>
    <definedName name="__337___________________________________________________________________4_0__123Grap" hidden="1">#REF!</definedName>
    <definedName name="__342___________________________________________________________________B_0__123Graph_XGráfico" hidden="1">#REF!</definedName>
    <definedName name="__345__________________________________________________________________123Graph_AGráfico_4A" hidden="1">#REF!</definedName>
    <definedName name="__346__________________________________________________________________123Graph_BGráfico_4A" hidden="1">#REF!</definedName>
    <definedName name="__347__________________________________________________________________123Graph_XGráfico_4A" hidden="1">#REF!</definedName>
    <definedName name="__348__________________________________________________________________4_0__123Grap" hidden="1">#REF!</definedName>
    <definedName name="__353__________________________________________________________________B_0__123Graph_XGráfico" hidden="1">#REF!</definedName>
    <definedName name="__356_________________________________________________________________123Graph_AGráfico_4A" hidden="1">#REF!</definedName>
    <definedName name="__357_________________________________________________________________123Graph_BGráfico_4A" hidden="1">#REF!</definedName>
    <definedName name="__358_________________________________________________________________123Graph_XGráfico_4A" hidden="1">#REF!</definedName>
    <definedName name="__359_________________________________________________________________4_0__123Grap" hidden="1">#REF!</definedName>
    <definedName name="__364_________________________________________________________________B_0__123Graph_XGráfico" hidden="1">#REF!</definedName>
    <definedName name="__367________________________________________________________________123Graph_AGráfico_4A" hidden="1">#REF!</definedName>
    <definedName name="__368________________________________________________________________123Graph_BGráfico_4A" hidden="1">#REF!</definedName>
    <definedName name="__369________________________________________________________________123Graph_XGráfico_4A" hidden="1">#REF!</definedName>
    <definedName name="__370________________________________________________________________4_0__123Grap" hidden="1">#REF!</definedName>
    <definedName name="__375________________________________________________________________B_0__123Graph_XGráfico" hidden="1">#REF!</definedName>
    <definedName name="__378_______________________________________________________________123Graph_AGráfico_4A" hidden="1">#REF!</definedName>
    <definedName name="__379_______________________________________________________________123Graph_BGráfico_4A" hidden="1">#REF!</definedName>
    <definedName name="__380_______________________________________________________________123Graph_XGráfico_4A" hidden="1">#REF!</definedName>
    <definedName name="__381_______________________________________________________________4_0__123Grap" hidden="1">#REF!</definedName>
    <definedName name="__386_______________________________________________________________B_0__123Graph_XGráfico" hidden="1">#REF!</definedName>
    <definedName name="__389______________________________________________________________123Graph_AGráfico_4A" hidden="1">#REF!</definedName>
    <definedName name="__390______________________________________________________________123Graph_BGráfico_4A" hidden="1">#REF!</definedName>
    <definedName name="__391______________________________________________________________123Graph_XGráfico_4A" hidden="1">#REF!</definedName>
    <definedName name="__392______________________________________________________________4_0__123Grap" hidden="1">#REF!</definedName>
    <definedName name="__397______________________________________________________________B_0__123Graph_XGráfico" hidden="1">#REF!</definedName>
    <definedName name="__400_____________________________________________________________123Graph_AGráfico_4A" hidden="1">#REF!</definedName>
    <definedName name="__401_____________________________________________________________123Graph_BGráfico_4A" hidden="1">#REF!</definedName>
    <definedName name="__402_____________________________________________________________123Graph_XGráfico_4A" hidden="1">#REF!</definedName>
    <definedName name="__403_____________________________________________________________4_0__123Grap" hidden="1">#REF!</definedName>
    <definedName name="__408_____________________________________________________________B_0__123Graph_XGráfico" hidden="1">#REF!</definedName>
    <definedName name="__411____________________________________________________________123Graph_AGráfico_4A" hidden="1">#REF!</definedName>
    <definedName name="__412____________________________________________________________123Graph_BGráfico_4A" hidden="1">#REF!</definedName>
    <definedName name="__413____________________________________________________________123Graph_XGráfico_4A" hidden="1">#REF!</definedName>
    <definedName name="__414____________________________________________________________4_0__123Grap" hidden="1">#REF!</definedName>
    <definedName name="__419____________________________________________________________B_0__123Graph_XGráfico" hidden="1">#REF!</definedName>
    <definedName name="__422___________________________________________________________123Graph_AGráfico_4A" hidden="1">#REF!</definedName>
    <definedName name="__423___________________________________________________________123Graph_BGráfico_4A" hidden="1">#REF!</definedName>
    <definedName name="__424___________________________________________________________123Graph_XGráfico_4A" hidden="1">#REF!</definedName>
    <definedName name="__425___________________________________________________________4_0__123Grap" hidden="1">#REF!</definedName>
    <definedName name="__430___________________________________________________________B_0__123Graph_XGráfico" hidden="1">#REF!</definedName>
    <definedName name="__433__________________________________________________________123Graph_AGráfico_4A" hidden="1">#REF!</definedName>
    <definedName name="__434__________________________________________________________123Graph_BGráfico_4A" hidden="1">#REF!</definedName>
    <definedName name="__435__________________________________________________________123Graph_XGráfico_4A" hidden="1">#REF!</definedName>
    <definedName name="__436__________________________________________________________4_0__123Grap" hidden="1">#REF!</definedName>
    <definedName name="__441__________________________________________________________B_0__123Graph_XGráfico" hidden="1">#REF!</definedName>
    <definedName name="__444_________________________________________________________123Graph_AGráfico_4A" hidden="1">#REF!</definedName>
    <definedName name="__445_________________________________________________________123Graph_BGráfico_4A" hidden="1">#REF!</definedName>
    <definedName name="__446_________________________________________________________123Graph_XGráfico_4A" hidden="1">#REF!</definedName>
    <definedName name="__447_________________________________________________________4_0__123Grap" hidden="1">#REF!</definedName>
    <definedName name="__452_________________________________________________________B_0__123Graph_XGráfico" hidden="1">#REF!</definedName>
    <definedName name="__455________________________________________________________123Graph_AGráfico_4A" hidden="1">#REF!</definedName>
    <definedName name="__456________________________________________________________123Graph_BGráfico_4A" hidden="1">#REF!</definedName>
    <definedName name="__457________________________________________________________123Graph_XGráfico_4A" hidden="1">#REF!</definedName>
    <definedName name="__458________________________________________________________4_0__123Grap" hidden="1">#REF!</definedName>
    <definedName name="__463________________________________________________________B_0__123Graph_XGráfico" hidden="1">#REF!</definedName>
    <definedName name="__466_______________________________________________________123Graph_AGráfico_4A" hidden="1">#REF!</definedName>
    <definedName name="__467_______________________________________________________123Graph_BGráfico_4A" hidden="1">#REF!</definedName>
    <definedName name="__468_______________________________________________________123Graph_XGráfico_4A" hidden="1">#REF!</definedName>
    <definedName name="__469_______________________________________________________4_0__123Grap" hidden="1">#REF!</definedName>
    <definedName name="__474_______________________________________________________B_0__123Graph_XGráfico" hidden="1">#REF!</definedName>
    <definedName name="__477______________________________________________________123Graph_AGráfico_4A" hidden="1">#REF!</definedName>
    <definedName name="__478______________________________________________________123Graph_BGráfico_4A" hidden="1">#REF!</definedName>
    <definedName name="__479______________________________________________________123Graph_XGráfico_4A" hidden="1">#REF!</definedName>
    <definedName name="__480______________________________________________________4_0__123Grap" hidden="1">#REF!</definedName>
    <definedName name="__485______________________________________________________B_0__123Graph_XGráfico" hidden="1">#REF!</definedName>
    <definedName name="__488_____________________________________________________123Graph_AGráfico_4A" hidden="1">#REF!</definedName>
    <definedName name="__489_____________________________________________________123Graph_BGráfico_4A" hidden="1">#REF!</definedName>
    <definedName name="__490_____________________________________________________123Graph_XGráfico_4A" hidden="1">#REF!</definedName>
    <definedName name="__491_____________________________________________________4_0__123Grap" hidden="1">#REF!</definedName>
    <definedName name="__496_____________________________________________________B_0__123Graph_XGráfico" hidden="1">#REF!</definedName>
    <definedName name="__499____________________________________________________123Graph_AGráfico_4A" hidden="1">#REF!</definedName>
    <definedName name="__500____________________________________________________123Graph_BGráfico_4A" hidden="1">#REF!</definedName>
    <definedName name="__501____________________________________________________123Graph_XGráfico_4A" hidden="1">#REF!</definedName>
    <definedName name="__502____________________________________________________4_0__123Grap" hidden="1">#REF!</definedName>
    <definedName name="__507____________________________________________________B_0__123Graph_XGráfico" hidden="1">#REF!</definedName>
    <definedName name="__510___________________________________________________123Graph_AGráfico_4A" hidden="1">#REF!</definedName>
    <definedName name="__511___________________________________________________123Graph_BGráfico_4A" hidden="1">#REF!</definedName>
    <definedName name="__512___________________________________________________123Graph_XGráfico_4A" hidden="1">#REF!</definedName>
    <definedName name="__513___________________________________________________4_0__123Grap" hidden="1">#REF!</definedName>
    <definedName name="__518___________________________________________________B_0__123Graph_XGráfico" hidden="1">#REF!</definedName>
    <definedName name="__521__________________________________________________123Graph_AGráfico_4A" hidden="1">#REF!</definedName>
    <definedName name="__522__________________________________________________123Graph_BGráfico_4A" hidden="1">#REF!</definedName>
    <definedName name="__523__________________________________________________123Graph_XGráfico_4A" hidden="1">#REF!</definedName>
    <definedName name="__524__________________________________________________4_0__123Grap" hidden="1">#REF!</definedName>
    <definedName name="__529__________________________________________________B_0__123Graph_XGráfico" hidden="1">#REF!</definedName>
    <definedName name="__532_________________________________________________123Graph_AGráfico_4A" hidden="1">#REF!</definedName>
    <definedName name="__533_________________________________________________123Graph_BGráfico_4A" hidden="1">#REF!</definedName>
    <definedName name="__534_________________________________________________123Graph_XGráfico_4A" hidden="1">#REF!</definedName>
    <definedName name="__535_________________________________________________4_0__123Grap" hidden="1">#REF!</definedName>
    <definedName name="__540_________________________________________________B_0__123Graph_XGráfico" hidden="1">#REF!</definedName>
    <definedName name="__543________________________________________________123Graph_AGráfico_4A" hidden="1">#REF!</definedName>
    <definedName name="__544________________________________________________123Graph_BGráfico_4A" hidden="1">#REF!</definedName>
    <definedName name="__545________________________________________________123Graph_XGráfico_4A" hidden="1">#REF!</definedName>
    <definedName name="__546________________________________________________4_0__123Grap" hidden="1">#REF!</definedName>
    <definedName name="__551________________________________________________B_0__123Graph_XGráfico" hidden="1">#REF!</definedName>
    <definedName name="__554_______________________________________________123Graph_AGráfico_4A" hidden="1">#REF!</definedName>
    <definedName name="__555_______________________________________________123Graph_BGráfico_4A" hidden="1">#REF!</definedName>
    <definedName name="__556_______________________________________________123Graph_XGráfico_4A" hidden="1">#REF!</definedName>
    <definedName name="__557_______________________________________________4_0__123Grap" hidden="1">#REF!</definedName>
    <definedName name="__562_______________________________________________B_0__123Graph_XGráfico" hidden="1">#REF!</definedName>
    <definedName name="__565______________________________________________123Graph_AGráfico_4A" hidden="1">#REF!</definedName>
    <definedName name="__566______________________________________________123Graph_BGráfico_4A" hidden="1">#REF!</definedName>
    <definedName name="__567______________________________________________123Graph_XGráfico_4A" hidden="1">#REF!</definedName>
    <definedName name="__568______________________________________________4_0__123Grap" hidden="1">#REF!</definedName>
    <definedName name="__573______________________________________________B_0__123Graph_XGráfico" hidden="1">#REF!</definedName>
    <definedName name="__576_____________________________________________123Graph_AGráfico_4A" hidden="1">#REF!</definedName>
    <definedName name="__577_____________________________________________123Graph_BGráfico_4A" hidden="1">#REF!</definedName>
    <definedName name="__578_____________________________________________123Graph_XGráfico_4A" hidden="1">#REF!</definedName>
    <definedName name="__579_____________________________________________4_0__123Grap" hidden="1">#REF!</definedName>
    <definedName name="__584_____________________________________________B_0__123Graph_XGráfico" hidden="1">#REF!</definedName>
    <definedName name="__587____________________________________________123Graph_AGráfico_4A" hidden="1">#REF!</definedName>
    <definedName name="__588____________________________________________123Graph_BGráfico_4A" hidden="1">#REF!</definedName>
    <definedName name="__589____________________________________________123Graph_XGráfico_4A" hidden="1">#REF!</definedName>
    <definedName name="__590____________________________________________4_0__123Grap" hidden="1">#REF!</definedName>
    <definedName name="__595____________________________________________B_0__123Graph_XGráfico" hidden="1">#REF!</definedName>
    <definedName name="__598___________________________________________123Graph_AGráfico_4A" hidden="1">#REF!</definedName>
    <definedName name="__599___________________________________________123Graph_BGráfico_4A" hidden="1">#REF!</definedName>
    <definedName name="__600___________________________________________123Graph_XGráfico_4A" hidden="1">#REF!</definedName>
    <definedName name="__601___________________________________________4_0__123Grap" hidden="1">#REF!</definedName>
    <definedName name="__606___________________________________________B_0__123Graph_XGráfico" hidden="1">#REF!</definedName>
    <definedName name="__609__________________________________________123Graph_AGráfico_4A" hidden="1">#REF!</definedName>
    <definedName name="__610__________________________________________123Graph_BGráfico_4A" hidden="1">#REF!</definedName>
    <definedName name="__611__________________________________________123Graph_XGráfico_4A" hidden="1">#REF!</definedName>
    <definedName name="__612__________________________________________4_0__123Grap" hidden="1">#REF!</definedName>
    <definedName name="__617__________________________________________B_0__123Graph_XGráfico" hidden="1">#REF!</definedName>
    <definedName name="__620_________________________________________123Graph_AGráfico_4A" hidden="1">#REF!</definedName>
    <definedName name="__621_________________________________________123Graph_BGráfico_4A" hidden="1">#REF!</definedName>
    <definedName name="__622_________________________________________123Graph_XGráfico_4A" hidden="1">#REF!</definedName>
    <definedName name="__623_________________________________________4_0__123Grap" hidden="1">#REF!</definedName>
    <definedName name="__628_________________________________________B_0__123Graph_XGráfico" hidden="1">#REF!</definedName>
    <definedName name="__631________________________________________123Graph_AGráfico_4A" hidden="1">#REF!</definedName>
    <definedName name="__632________________________________________123Graph_BGráfico_4A" hidden="1">#REF!</definedName>
    <definedName name="__633________________________________________123Graph_XGráfico_4A" hidden="1">#REF!</definedName>
    <definedName name="__634________________________________________4_0__123Grap" hidden="1">#REF!</definedName>
    <definedName name="__639________________________________________B_0__123Graph_XGráfico" hidden="1">#REF!</definedName>
    <definedName name="__642_______________________________________123Graph_AGráfico_4A" hidden="1">#REF!</definedName>
    <definedName name="__643_______________________________________123Graph_BGráfico_4A" hidden="1">#REF!</definedName>
    <definedName name="__644_______________________________________123Graph_XGráfico_4A" hidden="1">#REF!</definedName>
    <definedName name="__645_______________________________________4_0__123Grap" hidden="1">#REF!</definedName>
    <definedName name="__650_______________________________________B_0__123Graph_XGráfico" hidden="1">#REF!</definedName>
    <definedName name="__653______________________________________123Graph_AGráfico_4A" hidden="1">#REF!</definedName>
    <definedName name="__654______________________________________123Graph_BGráfico_4A" hidden="1">#REF!</definedName>
    <definedName name="__655______________________________________123Graph_XGráfico_4A" hidden="1">#REF!</definedName>
    <definedName name="__656______________________________________4_0__123Grap" hidden="1">#REF!</definedName>
    <definedName name="__661______________________________________B_0__123Graph_XGráfico" hidden="1">#REF!</definedName>
    <definedName name="__664_____________________________________123Graph_AGráfico_4A" hidden="1">#REF!</definedName>
    <definedName name="__665_____________________________________123Graph_BGráfico_4A" hidden="1">#REF!</definedName>
    <definedName name="__666_____________________________________123Graph_XGráfico_4A" hidden="1">#REF!</definedName>
    <definedName name="__667_____________________________________4_0__123Grap" hidden="1">#REF!</definedName>
    <definedName name="__672_____________________________________B_0__123Graph_XGráfico" hidden="1">#REF!</definedName>
    <definedName name="__675____________________________________123Graph_AGráfico_4A" hidden="1">#REF!</definedName>
    <definedName name="__676____________________________________123Graph_BGráfico_4A" hidden="1">#REF!</definedName>
    <definedName name="__677____________________________________123Graph_XGráfico_4A" hidden="1">#REF!</definedName>
    <definedName name="__678____________________________________4_0__123Grap" hidden="1">#REF!</definedName>
    <definedName name="__683____________________________________B_0__123Graph_XGráfico" hidden="1">#REF!</definedName>
    <definedName name="__686___________________________________123Graph_AGráfico_4A" hidden="1">#REF!</definedName>
    <definedName name="__687___________________________________123Graph_BGráfico_4A" hidden="1">#REF!</definedName>
    <definedName name="__688___________________________________123Graph_XGráfico_4A" hidden="1">#REF!</definedName>
    <definedName name="__689___________________________________4_0__123Grap" hidden="1">#REF!</definedName>
    <definedName name="__694___________________________________B_0__123Graph_XGráfico" hidden="1">#REF!</definedName>
    <definedName name="__697__________________________________123Graph_AGráfico_4A" hidden="1">#REF!</definedName>
    <definedName name="__698__________________________________123Graph_BGráfico_4A" hidden="1">#REF!</definedName>
    <definedName name="__699__________________________________123Graph_XGráfico_4A" hidden="1">#REF!</definedName>
    <definedName name="__700__________________________________4_0__123Grap" hidden="1">#REF!</definedName>
    <definedName name="__705__________________________________B_0__123Graph_XGráfico" hidden="1">#REF!</definedName>
    <definedName name="__708_________________________________123Graph_AGráfico_4A" hidden="1">#REF!</definedName>
    <definedName name="__709_________________________________123Graph_BGráfico_4A" hidden="1">#REF!</definedName>
    <definedName name="__710_________________________________123Graph_XGráfico_4A" hidden="1">#REF!</definedName>
    <definedName name="__711_________________________________4_0__123Grap" hidden="1">#REF!</definedName>
    <definedName name="__716_________________________________B_0__123Graph_XGráfico" hidden="1">#REF!</definedName>
    <definedName name="__719________________________________123Graph_AGráfico_4A" hidden="1">#REF!</definedName>
    <definedName name="__720________________________________123Graph_BGráfico_4A" hidden="1">#REF!</definedName>
    <definedName name="__721________________________________123Graph_XGráfico_4A" hidden="1">#REF!</definedName>
    <definedName name="__722________________________________4_0__123Grap" hidden="1">#REF!</definedName>
    <definedName name="__727________________________________B_0__123Graph_XGráfico" hidden="1">#REF!</definedName>
    <definedName name="__730_______________________________123Graph_AGráfico_4A" hidden="1">#REF!</definedName>
    <definedName name="__731_______________________________123Graph_BGráfico_4A" hidden="1">#REF!</definedName>
    <definedName name="__732_______________________________123Graph_XGráfico_4A" hidden="1">#REF!</definedName>
    <definedName name="__733_______________________________4_0__123Grap" hidden="1">#REF!</definedName>
    <definedName name="__738_______________________________B_0__123Graph_XGráfico" hidden="1">#REF!</definedName>
    <definedName name="__741______________________________123Graph_AGráfico_4A" hidden="1">#REF!</definedName>
    <definedName name="__742______________________________123Graph_BGráfico_4A" hidden="1">#REF!</definedName>
    <definedName name="__743______________________________123Graph_XGráfico_4A" hidden="1">#REF!</definedName>
    <definedName name="__744______________________________4_0__123Grap" hidden="1">#REF!</definedName>
    <definedName name="__749______________________________B_0__123Graph_XGráfico" hidden="1">#REF!</definedName>
    <definedName name="__752_____________________________4_0__123Grap" hidden="1">#REF!</definedName>
    <definedName name="__757_____________________________B_0__123Graph_XGráfico" hidden="1">#REF!</definedName>
    <definedName name="__760____________________________4_0__123Grap" hidden="1">#REF!</definedName>
    <definedName name="__765____________________________B_0__123Graph_XGráfico" hidden="1">#REF!</definedName>
    <definedName name="__768___________________________4_0__123Grap" hidden="1">#REF!</definedName>
    <definedName name="__773___________________________B_0__123Graph_XGráfico" hidden="1">#REF!</definedName>
    <definedName name="__776__________________________4_0__123Grap" hidden="1">#REF!</definedName>
    <definedName name="__781__________________________B_0__123Graph_XGráfico" hidden="1">#REF!</definedName>
    <definedName name="__784_________________________4_0__123Grap" hidden="1">#REF!</definedName>
    <definedName name="__789_________________________B_0__123Graph_XGráfico" hidden="1">#REF!</definedName>
    <definedName name="__792________________________4_0__123Grap" hidden="1">#REF!</definedName>
    <definedName name="__797________________________B_0__123Graph_XGráfico" hidden="1">#REF!</definedName>
    <definedName name="__800_______________________4_0__123Grap" hidden="1">#REF!</definedName>
    <definedName name="__805_______________________B_0__123Graph_XGráfico" hidden="1">#REF!</definedName>
    <definedName name="__808______________________4_0__123Grap" hidden="1">#REF!</definedName>
    <definedName name="__813______________________B_0__123Graph_XGráfico" hidden="1">#REF!</definedName>
    <definedName name="__816_____________________4_0__123Grap" hidden="1">#REF!</definedName>
    <definedName name="__821_____________________B_0__123Graph_XGráfico" hidden="1">#REF!</definedName>
    <definedName name="__824____________________4_0__123Grap" hidden="1">#REF!</definedName>
    <definedName name="__829____________________B_0__123Graph_XGráfico" hidden="1">#REF!</definedName>
    <definedName name="__832___________________4_0__123Grap" hidden="1">#REF!</definedName>
    <definedName name="__837___________________B_0__123Graph_XGráfico" hidden="1">#REF!</definedName>
    <definedName name="__840__________________4_0__123Grap" hidden="1">#REF!</definedName>
    <definedName name="__845__________________B_0__123Graph_XGráfico" hidden="1">#REF!</definedName>
    <definedName name="__848_________________4_0__123Grap" hidden="1">#REF!</definedName>
    <definedName name="__853_________________B_0__123Graph_XGráfico" hidden="1">#REF!</definedName>
    <definedName name="__856________________4_0__123Grap" hidden="1">#REF!</definedName>
    <definedName name="__861________________B_0__123Graph_XGráfico" hidden="1">#REF!</definedName>
    <definedName name="__864_______________4_0__123Grap" hidden="1">#REF!</definedName>
    <definedName name="__869_______________B_0__123Graph_XGráfico" hidden="1">#REF!</definedName>
    <definedName name="__a1" localSheetId="4">'C.C. '!__a1</definedName>
    <definedName name="__a1" localSheetId="19">'Demanda Trafo A'!__a1</definedName>
    <definedName name="__a1" localSheetId="22">factores!__a1</definedName>
    <definedName name="__a1" localSheetId="16">'H1-CUADRO DE CARGAS'!__a1</definedName>
    <definedName name="__a1" localSheetId="3">'PORTADA '!__a1</definedName>
    <definedName name="__a1" localSheetId="23">'Tablas Cables'!__a1</definedName>
    <definedName name="__a1">[0]!__a1</definedName>
    <definedName name="__A2" hidden="1">{#N/A,#N/A,FALSE,"Costos Productos 6A";#N/A,#N/A,FALSE,"Costo Unitario Total H-94-12"}</definedName>
    <definedName name="__AAS1" hidden="1">{#N/A,#N/A,TRUE,"INGENIERIA";#N/A,#N/A,TRUE,"COMPRAS";#N/A,#N/A,TRUE,"DIRECCION";#N/A,#N/A,TRUE,"RESUMEN"}</definedName>
    <definedName name="__ABC1" hidden="1">{#N/A,#N/A,TRUE,"1842CWN0"}</definedName>
    <definedName name="__abc2" hidden="1">{#N/A,#N/A,TRUE,"1842CWN0"}</definedName>
    <definedName name="__AFC1">#REF!</definedName>
    <definedName name="__AFC3">#REF!</definedName>
    <definedName name="__AFC5">#REF!</definedName>
    <definedName name="__ane7">#REF!</definedName>
    <definedName name="__ane8">#REF!</definedName>
    <definedName name="__Atp2">#REF!</definedName>
    <definedName name="__BGC1">#REF!</definedName>
    <definedName name="__BGC3">#REF!</definedName>
    <definedName name="__BGC5">#REF!</definedName>
    <definedName name="__CAC1">#REF!</definedName>
    <definedName name="__CAC3">#REF!</definedName>
    <definedName name="__CAC5">#REF!</definedName>
    <definedName name="__DCI1">#REF!</definedName>
    <definedName name="__DDS1">#REF!</definedName>
    <definedName name="__DGO1">#REF!</definedName>
    <definedName name="__DGP1">#REF!</definedName>
    <definedName name="__DIJ1">#REF!</definedName>
    <definedName name="__DPI1">#REF!</definedName>
    <definedName name="__DPY1">#REF!</definedName>
    <definedName name="__DRI1">#REF!</definedName>
    <definedName name="__DRL1">#REF!</definedName>
    <definedName name="__DSP1">#REF!</definedName>
    <definedName name="__ECP1">#REF!</definedName>
    <definedName name="__hhg1" hidden="1">{#N/A,#N/A,TRUE,"1842CWN0"}</definedName>
    <definedName name="__ICP1">#REF!</definedName>
    <definedName name="__NEW4" hidden="1">{#N/A,#N/A,FALSE,"Full";#N/A,#N/A,FALSE,"Half";#N/A,#N/A,FALSE,"Op Expenses";#N/A,#N/A,FALSE,"Cap Charge";#N/A,#N/A,FALSE,"Cost C";#N/A,#N/A,FALSE,"PP&amp;E";#N/A,#N/A,FALSE,"R&amp;D"}</definedName>
    <definedName name="__OCD1">#REF!</definedName>
    <definedName name="__OCI1">#REF!</definedName>
    <definedName name="__QA1" hidden="1">#REF!</definedName>
    <definedName name="__SBC1">#REF!</definedName>
    <definedName name="__SBC3">#REF!</definedName>
    <definedName name="__SBC5">#REF!</definedName>
    <definedName name="__VEX1">#REF!</definedName>
    <definedName name="__VFA1">#REF!</definedName>
    <definedName name="__VIT1">#REF!</definedName>
    <definedName name="__VPR1">#REF!</definedName>
    <definedName name="__VPR2">#REF!</definedName>
    <definedName name="__VRP1">#REF!</definedName>
    <definedName name="__VSM1">#REF!</definedName>
    <definedName name="__xl5" hidden="1">{"Actual Equipment",#N/A,FALSE,"BA D5"}</definedName>
    <definedName name="__xlcn.WorksheetConnection_Hoja2AE1" hidden="1">#REF!</definedName>
    <definedName name="__xlcn.WorksheetConnection_Hoja3AE1" hidden="1">#REF!</definedName>
    <definedName name="__xlcn.WorksheetConnection_Hoja3AE11" hidden="1">#REF!</definedName>
    <definedName name="__xlcn.WorksheetConnection_Hoja5AE1" hidden="1">#REF!</definedName>
    <definedName name="__xlcn.WorksheetConnection_OPERAI1" hidden="1">#REF!</definedName>
    <definedName name="__xlcn.WorksheetConnection_PACIFICAI1" hidden="1">#REF!</definedName>
    <definedName name="__xlcn.WorksheetConnection_PACIFICAI11" hidden="1">#REF!</definedName>
    <definedName name="_1_">#REF!</definedName>
    <definedName name="_1__123Graph_ACHART_1" hidden="1">#REF!</definedName>
    <definedName name="_1__xl5" hidden="1">{"Actual Equipment",#N/A,FALSE,"BA D5"}</definedName>
    <definedName name="_1_25">#REF!</definedName>
    <definedName name="_10___123Graph_XGráfico_4A" localSheetId="22" hidden="1">#REF!</definedName>
    <definedName name="_10___123Graph_XGráfico_4A" localSheetId="23" hidden="1">#REF!</definedName>
    <definedName name="_10___123Graph_XGráfico_4A" hidden="1">#REF!</definedName>
    <definedName name="_10__123Graph_ACHART_1" hidden="1">#REF!</definedName>
    <definedName name="_10__123Graph_ACHART_14" hidden="1">#REF!</definedName>
    <definedName name="_10__123Graph_ACHART_15" hidden="1">#REF!</definedName>
    <definedName name="_10__123Graph_BCHART_1" hidden="1">#REF!</definedName>
    <definedName name="_10__123Graph_XCHART_2" hidden="1">#REF!</definedName>
    <definedName name="_10__123Graph_XGráfico_4A" hidden="1">#REF!</definedName>
    <definedName name="_10__xl5" hidden="1">{"Actual Equipment",#N/A,FALSE,"BA D5"}</definedName>
    <definedName name="_10_0T">#REF!</definedName>
    <definedName name="_10_4____123Grap" hidden="1">#REF!</definedName>
    <definedName name="_10_5_0TTRA">#REF!</definedName>
    <definedName name="_10_B_0__123Graph_XGráfico" hidden="1">#REF!</definedName>
    <definedName name="_101___________4_0__123Grap" hidden="1">#REF!</definedName>
    <definedName name="_101__123Graph_CCHART_9" hidden="1">#REF!</definedName>
    <definedName name="_103__123Graph_XCHART_10" hidden="1">#REF!</definedName>
    <definedName name="_105__123Graph_XCHART_11" hidden="1">#REF!</definedName>
    <definedName name="_106___________B_0__123Graph_XGráfico" hidden="1">#REF!</definedName>
    <definedName name="_106__123Graph_ACHART_16" hidden="1">#REF!</definedName>
    <definedName name="_107__123Graph_XCHART_12" hidden="1">#REF!</definedName>
    <definedName name="_109__________4_0__123Grap" hidden="1">#REF!</definedName>
    <definedName name="_109__123Graph_XCHART_13" hidden="1">#REF!</definedName>
    <definedName name="_11__123Graph_ACHART_15" hidden="1">#REF!</definedName>
    <definedName name="_11__123Graph_ACHART_16" hidden="1">#REF!</definedName>
    <definedName name="_11__123Graph_XCHART_3" hidden="1">#REF!</definedName>
    <definedName name="_11_4_0__123Grap" hidden="1">#REF!</definedName>
    <definedName name="_11_5__TTRA">#REF!</definedName>
    <definedName name="_111__123Graph_XCHART_14" hidden="1">#REF!</definedName>
    <definedName name="_113__123Graph_XCHART_15" hidden="1">#REF!</definedName>
    <definedName name="_114__________B_0__123Graph_XGráfico" hidden="1">#REF!</definedName>
    <definedName name="_115__123Graph_XCHART_16" hidden="1">#REF!</definedName>
    <definedName name="_116__123Graph_XCHART_2" hidden="1">#REF!</definedName>
    <definedName name="_117_________4_0__123Grap" hidden="1">#REF!</definedName>
    <definedName name="_117__123Graph_XCHART_3" hidden="1">#REF!</definedName>
    <definedName name="_118__123Graph_XCHART_4" hidden="1">#REF!</definedName>
    <definedName name="_119__123Graph_ACHART_7" hidden="1">#REF!</definedName>
    <definedName name="_119__123Graph_XCHART_5" hidden="1">#REF!</definedName>
    <definedName name="_11B____123Graph_XGráfico" hidden="1">#REF!</definedName>
    <definedName name="_11T">#REF!</definedName>
    <definedName name="_12___123Graph_AGráfico_4A" hidden="1">#REF!</definedName>
    <definedName name="_12___123Graph_BGráfico_4A" localSheetId="22" hidden="1">#REF!</definedName>
    <definedName name="_12___123Graph_BGráfico_4A" localSheetId="23" hidden="1">#REF!</definedName>
    <definedName name="_12___123Graph_BGráfico_4A" hidden="1">#REF!</definedName>
    <definedName name="_12__123Graph_ACHART_10" hidden="1">#REF!</definedName>
    <definedName name="_12__123Graph_ACHART_16" hidden="1">#REF!</definedName>
    <definedName name="_12__123Graph_BCHART_2" hidden="1">#REF!</definedName>
    <definedName name="_12__123Graph_XCHART_4" hidden="1">#REF!</definedName>
    <definedName name="_12_4_0__123Grap" hidden="1">#REF!</definedName>
    <definedName name="_12_6_0ACETA">#REF!</definedName>
    <definedName name="_12_B_0__123Graph_XGráfico" hidden="1">#REF!</definedName>
    <definedName name="_121__123Graph_XCHART_8" hidden="1">#REF!</definedName>
    <definedName name="_122_________B_0__123Graph_XGráfico" hidden="1">#REF!</definedName>
    <definedName name="_123__123Graph_XCHART_9" hidden="1">#REF!</definedName>
    <definedName name="_125________4_0__123Grap" hidden="1">#REF!</definedName>
    <definedName name="_126B____123Graph_XGráfico" hidden="1">#REF!</definedName>
    <definedName name="_128__123Graph_ACHART_8" hidden="1">#REF!</definedName>
    <definedName name="_12B_0__123Graph_XGráfico" hidden="1">#REF!</definedName>
    <definedName name="_13__123Graph_ACHART_7" hidden="1">#REF!</definedName>
    <definedName name="_13__123Graph_XCHART_5" hidden="1">#REF!</definedName>
    <definedName name="_13_6__ACETA">#REF!</definedName>
    <definedName name="_130________B_0__123Graph_XGráfico" hidden="1">#REF!</definedName>
    <definedName name="_133_______4_0__123Grap" hidden="1">#REF!</definedName>
    <definedName name="_133B_0__123Graph_XGráfico" hidden="1">#REF!</definedName>
    <definedName name="_137__123Graph_ACHART_9" hidden="1">#REF!</definedName>
    <definedName name="_138_______B_0__123Graph_XGráfico" hidden="1">#REF!</definedName>
    <definedName name="_14__123Graph_ACHART_11" hidden="1">#REF!</definedName>
    <definedName name="_14__123Graph_ACHART_8" hidden="1">#REF!</definedName>
    <definedName name="_14__123Graph_AGráfico_4A" hidden="1">#REF!</definedName>
    <definedName name="_14__123Graph_BCHART_3" hidden="1">#REF!</definedName>
    <definedName name="_14__B_0__123Graph_XGráfico" hidden="1">#REF!</definedName>
    <definedName name="_14_4_0__123Grap" localSheetId="22" hidden="1">#REF!</definedName>
    <definedName name="_14_4_0__123Grap" localSheetId="23" hidden="1">#REF!</definedName>
    <definedName name="_14_4_0__123Grap" hidden="1">#REF!</definedName>
    <definedName name="_14_7_0TBA">#REF!</definedName>
    <definedName name="_141______4_0__123Grap" hidden="1">#REF!</definedName>
    <definedName name="_146______B_0__123Graph_XGráfico" hidden="1">#REF!</definedName>
    <definedName name="_148__123Graph_AGráfico_4A" hidden="1">#REF!</definedName>
    <definedName name="_149__123Graph_BCHART_1" hidden="1">#REF!</definedName>
    <definedName name="_149__123Graph_BGráfico_4A" hidden="1">#REF!</definedName>
    <definedName name="_15___123Graph_XGráfico_4A" localSheetId="22" hidden="1">#REF!</definedName>
    <definedName name="_15___123Graph_XGráfico_4A" localSheetId="23" hidden="1">#REF!</definedName>
    <definedName name="_15___123Graph_XGráfico_4A" hidden="1">#REF!</definedName>
    <definedName name="_15__123Graph_ACHART_1" hidden="1">#REF!</definedName>
    <definedName name="_15__123Graph_ACHART_9" hidden="1">#REF!</definedName>
    <definedName name="_15_7__TBA">#REF!</definedName>
    <definedName name="_150__123Graph_XGráfico_4A" hidden="1">#REF!</definedName>
    <definedName name="_151_____________________________________________________________________________________________________________________________123Graph_AGráfico_4A" hidden="1">#REF!</definedName>
    <definedName name="_151_4____123Grap" hidden="1">#REF!</definedName>
    <definedName name="_152_____________________________________________________________________________________________________________________________123Graph_BGráfico_4A" hidden="1">#REF!</definedName>
    <definedName name="_153_____________________________________________________________________________________________________________________________123Graph_XGráfico_4A" hidden="1">#REF!</definedName>
    <definedName name="_154____________________________________________________________________________________________________________________________123Graph_AGráfico_4A" hidden="1">#REF!</definedName>
    <definedName name="_155____________________________________________________________________________________________________________________________123Graph_BGráfico_4A" hidden="1">#REF!</definedName>
    <definedName name="_156____________________________________________________________________________________________________________________________123Graph_XGráfico_4A" hidden="1">#REF!</definedName>
    <definedName name="_156B____123Graph_XGráfico" hidden="1">#REF!</definedName>
    <definedName name="_157___________________________________________________________________________________________________________________________123Graph_AGráfico_4A" hidden="1">#REF!</definedName>
    <definedName name="_158___________________________________________________________________________________________________________________________123Graph_BGráfico_4A" hidden="1">#REF!</definedName>
    <definedName name="_158__123Graph_BCHART_10" hidden="1">#REF!</definedName>
    <definedName name="_159___________________________________________________________________________________________________________________________123Graph_XGráfico_4A" hidden="1">#REF!</definedName>
    <definedName name="_16___123Graph_BGráfico_4A" hidden="1">#REF!</definedName>
    <definedName name="_16__123Graph_ACHART_10" hidden="1">#REF!</definedName>
    <definedName name="_16__123Graph_ACHART_12" hidden="1">#REF!</definedName>
    <definedName name="_16__123Graph_ACHART_7" hidden="1">#REF!</definedName>
    <definedName name="_16__123Graph_BCHART_1" hidden="1">#REF!</definedName>
    <definedName name="_16__123Graph_BCHART_4" hidden="1">#REF!</definedName>
    <definedName name="_16_8_0TARO">#REF!</definedName>
    <definedName name="_160__________________________________________________________________________________________________________________________123Graph_AGráfico_4A" hidden="1">#REF!</definedName>
    <definedName name="_161__________________________________________________________________________________________________________________________123Graph_BGráfico_4A" hidden="1">#REF!</definedName>
    <definedName name="_162__________________________________________________________________________________________________________________________123Graph_XGráfico_4A" hidden="1">#REF!</definedName>
    <definedName name="_163_________________________________________________________________________________________________________________________123Graph_AGráfico_4A" hidden="1">#REF!</definedName>
    <definedName name="_164_________________________________________________________________________________________________________________________123Graph_BGráfico_4A" hidden="1">#REF!</definedName>
    <definedName name="_165_________________________________________________________________________________________________________________________123Graph_XGráfico_4A" hidden="1">#REF!</definedName>
    <definedName name="_166________________________________________________________________________________________________________________________123Graph_AGráfico_4A" hidden="1">#REF!</definedName>
    <definedName name="_167________________________________________________________________________________________________________________________123Graph_BGráfico_4A" hidden="1">#REF!</definedName>
    <definedName name="_167__123Graph_BCHART_11" hidden="1">#REF!</definedName>
    <definedName name="_168________________________________________________________________________________________________________________________123Graph_XGráfico_4A" hidden="1">#REF!</definedName>
    <definedName name="_169_______________________________________________________________________________________________________________________123Graph_AGráfico_4A" hidden="1">#REF!</definedName>
    <definedName name="_17__123Graph_ACHART_11" hidden="1">#REF!</definedName>
    <definedName name="_17__123Graph_ACHART_7" hidden="1">#REF!</definedName>
    <definedName name="_17__123Graph_ACHART_8" hidden="1">#REF!</definedName>
    <definedName name="_17__123Graph_BCHART_10" hidden="1">#REF!</definedName>
    <definedName name="_17__123Graph_BGráfico_4A" hidden="1">#REF!</definedName>
    <definedName name="_17_4____123Grap" hidden="1">#REF!</definedName>
    <definedName name="_17_8__TARO">#REF!</definedName>
    <definedName name="_170_______________________________________________________________________________________________________________________123Graph_BGráfico_4A" hidden="1">#REF!</definedName>
    <definedName name="_171_______________________________________________________________________________________________________________________123Graph_XGráfico_4A" hidden="1">#REF!</definedName>
    <definedName name="_172______________________________________________________________________________________________________________________123Graph_AGráfico_4A" hidden="1">#REF!</definedName>
    <definedName name="_173______________________________________________________________________________________________________________________123Graph_BGráfico_4A" hidden="1">#REF!</definedName>
    <definedName name="_174______________________________________________________________________________________________________________________123Graph_XGráfico_4A" hidden="1">#REF!</definedName>
    <definedName name="_175_____________________________________________________________________________________________________________________123Graph_AGráfico_4A" hidden="1">#REF!</definedName>
    <definedName name="_176_____________________________________________________________________________________________________________________123Graph_BGráfico_4A" hidden="1">#REF!</definedName>
    <definedName name="_176__123Graph_BCHART_12" hidden="1">#REF!</definedName>
    <definedName name="_177_____________________________________________________________________________________________________________________123Graph_XGráfico_4A" hidden="1">#REF!</definedName>
    <definedName name="_178____________________________________________________________________________________________________________________123Graph_AGráfico_4A" hidden="1">#REF!</definedName>
    <definedName name="_179____________________________________________________________________________________________________________________123Graph_BGráfico_4A" hidden="1">#REF!</definedName>
    <definedName name="_18___123Graph_XGráfico_4A" hidden="1">#REF!</definedName>
    <definedName name="_18__123Graph_ACHART_12" hidden="1">#REF!</definedName>
    <definedName name="_18__123Graph_ACHART_13" hidden="1">#REF!</definedName>
    <definedName name="_18__123Graph_ACHART_8" hidden="1">#REF!</definedName>
    <definedName name="_18__123Graph_ACHART_9" hidden="1">#REF!</definedName>
    <definedName name="_18__123Graph_BCHART_11" hidden="1">#REF!</definedName>
    <definedName name="_18__123Graph_BCHART_5" hidden="1">#REF!</definedName>
    <definedName name="_18__B____123Graph_XGráfico" hidden="1">#REF!</definedName>
    <definedName name="_18_4_0__123Grap" hidden="1">#REF!</definedName>
    <definedName name="_180____________________________________________________________________________________________________________________123Graph_XGráfico_4A" hidden="1">#REF!</definedName>
    <definedName name="_181___________________________________________________________________________________________________________________123Graph_AGráfico_4A" hidden="1">#REF!</definedName>
    <definedName name="_182___________________________________________________________________________________________________________________123Graph_BGráfico_4A" hidden="1">#REF!</definedName>
    <definedName name="_183___________________________________________________________________________________________________________________123Graph_XGráfico_4A" hidden="1">#REF!</definedName>
    <definedName name="_184__________________________________________________________________________________________________________________123Graph_AGráfico_4A" hidden="1">#REF!</definedName>
    <definedName name="_185__________________________________________________________________________________________________________________123Graph_BGráfico_4A" hidden="1">#REF!</definedName>
    <definedName name="_185__123Graph_BCHART_13" hidden="1">#REF!</definedName>
    <definedName name="_186__________________________________________________________________________________________________________________123Graph_XGráfico_4A" hidden="1">#REF!</definedName>
    <definedName name="_187_________________________________________________________________________________________________________________123Graph_AGráfico_4A" hidden="1">#REF!</definedName>
    <definedName name="_188_________________________________________________________________________________________________________________123Graph_BGráfico_4A" hidden="1">#REF!</definedName>
    <definedName name="_189_________________________________________________________________________________________________________________123Graph_XGráfico_4A" hidden="1">#REF!</definedName>
    <definedName name="_18B____123Graph_XGráfico" hidden="1">#REF!</definedName>
    <definedName name="_19__123Graph_ACHART_13" hidden="1">#REF!</definedName>
    <definedName name="_19__123Graph_ACHART_9" hidden="1">#REF!</definedName>
    <definedName name="_19__123Graph_BCHART_12" hidden="1">#REF!</definedName>
    <definedName name="_19__123Graph_XCHART_2" hidden="1">#REF!</definedName>
    <definedName name="_19__B_0__123Graph_XGráfico" hidden="1">#REF!</definedName>
    <definedName name="_190________________________________________________________________________________________________________________123Graph_AGráfico_4A" hidden="1">#REF!</definedName>
    <definedName name="_191________________________________________________________________________________________________________________123Graph_BGráfico_4A" hidden="1">#REF!</definedName>
    <definedName name="_192________________________________________________________________________________________________________________123Graph_XGráfico_4A" hidden="1">#REF!</definedName>
    <definedName name="_193_______________________________________________________________________________________________________________123Graph_AGráfico_4A" hidden="1">#REF!</definedName>
    <definedName name="_194_______________________________________________________________________________________________________________123Graph_BGráfico_4A" hidden="1">#REF!</definedName>
    <definedName name="_194__123Graph_BCHART_14" hidden="1">#REF!</definedName>
    <definedName name="_195_______________________________________________________________________________________________________________123Graph_XGráfico_4A" hidden="1">#REF!</definedName>
    <definedName name="_196______________________________________________________________________________________________________________123Graph_AGráfico_4A" hidden="1">#REF!</definedName>
    <definedName name="_197______________________________________________________________________________________________________________123Graph_BGráfico_4A" hidden="1">#REF!</definedName>
    <definedName name="_198______________________________________________________________________________________________________________123Graph_XGráfico_4A" hidden="1">#REF!</definedName>
    <definedName name="_199_____________________________________________________________________________________________________________123Graph_AGráfico_4A" hidden="1">#REF!</definedName>
    <definedName name="_19B_0__123Graph_XGráfico" hidden="1">#REF!</definedName>
    <definedName name="_2___123Graph_AGráfico_4A" hidden="1">#REF!</definedName>
    <definedName name="_2__123Graph_ACHART_10" hidden="1">#REF!</definedName>
    <definedName name="_2__123Graph_ACHART_3" hidden="1">#REF!</definedName>
    <definedName name="_2__xl5" hidden="1">{"Actual Equipment",#N/A,FALSE,"BA D5"}</definedName>
    <definedName name="_2_0T">#REF!</definedName>
    <definedName name="_20___123Graph_XGráfico_4A" hidden="1">#REF!</definedName>
    <definedName name="_20__123Graph_ACHART_14" hidden="1">#REF!</definedName>
    <definedName name="_20__123Graph_BCHART_1" hidden="1">#REF!</definedName>
    <definedName name="_20__123Graph_BCHART_13" hidden="1">#REF!</definedName>
    <definedName name="_20__123Graph_XCHART_3" hidden="1">#REF!</definedName>
    <definedName name="_20__123Graph_XGráfico_4A" hidden="1">#REF!</definedName>
    <definedName name="_200_____________________________________________________________________________________________________________123Graph_BGráfico_4A" hidden="1">#REF!</definedName>
    <definedName name="_201_____________________________________________________________________________________________________________123Graph_XGráfico_4A" hidden="1">#REF!</definedName>
    <definedName name="_202____________________________________________________________________________________________________________123Graph_AGráfico_4A" hidden="1">#REF!</definedName>
    <definedName name="_203____________________________________________________________________________________________________________123Graph_BGráfico_4A" hidden="1">#REF!</definedName>
    <definedName name="_203__123Graph_BCHART_15" hidden="1">#REF!</definedName>
    <definedName name="_204____________________________________________________________________________________________________________123Graph_XGráfico_4A" hidden="1">#REF!</definedName>
    <definedName name="_205___________________________________________________________________________________________________________123Graph_AGráfico_4A" hidden="1">#REF!</definedName>
    <definedName name="_206___________________________________________________________________________________________________________123Graph_BGráfico_4A" hidden="1">#REF!</definedName>
    <definedName name="_207___________________________________________________________________________________________________________123Graph_XGráfico_4A" hidden="1">#REF!</definedName>
    <definedName name="_208__________________________________________________________________________________________________________123Graph_AGráfico_4A" hidden="1">#REF!</definedName>
    <definedName name="_209__________________________________________________________________________________________________________123Graph_BGráfico_4A" hidden="1">#REF!</definedName>
    <definedName name="_20tempora">#REF!</definedName>
    <definedName name="_21___123Graph_AGráfico_4A" hidden="1">#REF!</definedName>
    <definedName name="_21__123Graph_ACHART_15" hidden="1">#REF!</definedName>
    <definedName name="_21__123Graph_BCHART_1" hidden="1">#REF!</definedName>
    <definedName name="_21__123Graph_BCHART_10" hidden="1">#REF!</definedName>
    <definedName name="_21__123Graph_BCHART_14" hidden="1">#REF!</definedName>
    <definedName name="_21__123Graph_XCHART_4" hidden="1">#REF!</definedName>
    <definedName name="_21_4_0__123Grap" localSheetId="22" hidden="1">#REF!</definedName>
    <definedName name="_21_4_0__123Grap" localSheetId="23" hidden="1">#REF!</definedName>
    <definedName name="_21_4_0__123Grap" hidden="1">#REF!</definedName>
    <definedName name="_210__________________________________________________________________________________________________________123Graph_XGráfico_4A" hidden="1">#REF!</definedName>
    <definedName name="_211_________________________________________________________________________________________________________123Graph_AGráfico_4A" hidden="1">#REF!</definedName>
    <definedName name="_212_________________________________________________________________________________________________________123Graph_BGráfico_4A" hidden="1">#REF!</definedName>
    <definedName name="_212__123Graph_BCHART_16" hidden="1">#REF!</definedName>
    <definedName name="_213_________________________________________________________________________________________________________123Graph_XGráfico_4A" hidden="1">#REF!</definedName>
    <definedName name="_214________________________________________________________________________________________________________123Graph_AGráfico_4A" hidden="1">#REF!</definedName>
    <definedName name="_215________________________________________________________________________________________________________123Graph_BGráfico_4A" hidden="1">#REF!</definedName>
    <definedName name="_216________________________________________________________________________________________________________123Graph_XGráfico_4A" hidden="1">#REF!</definedName>
    <definedName name="_217_______________________________________________________________________________________________________123Graph_AGráfico_4A" hidden="1">#REF!</definedName>
    <definedName name="_218_______________________________________________________________________________________________________123Graph_BGráfico_4A" hidden="1">#REF!</definedName>
    <definedName name="_219_______________________________________________________________________________________________________123Graph_XGráfico_4A" hidden="1">#REF!</definedName>
    <definedName name="_21ÿ_0TAB">#REF!</definedName>
    <definedName name="_22__123Graph_ACHART_15" hidden="1">#REF!</definedName>
    <definedName name="_22__123Graph_ACHART_16" hidden="1">#REF!</definedName>
    <definedName name="_22__123Graph_BCHART_10" hidden="1">#REF!</definedName>
    <definedName name="_22__123Graph_BCHART_11" hidden="1">#REF!</definedName>
    <definedName name="_22__123Graph_BCHART_15" hidden="1">#REF!</definedName>
    <definedName name="_22__123Graph_XCHART_5" hidden="1">#REF!</definedName>
    <definedName name="_220______________________________________________________________________________________________________123Graph_AGráfico_4A" hidden="1">#REF!</definedName>
    <definedName name="_221______________________________________________________________________________________________________123Graph_BGráfico_4A" hidden="1">#REF!</definedName>
    <definedName name="_222______________________________________________________________________________________________________123Graph_XGráfico_4A" hidden="1">#REF!</definedName>
    <definedName name="_223_____________________________________________________________________________________________________123Graph_AGráfico_4A" hidden="1">#REF!</definedName>
    <definedName name="_224_____________________________________________________________________________________________________123Graph_BGráfico_4A" hidden="1">#REF!</definedName>
    <definedName name="_225_____________________________________________________________________________________________________123Graph_XGráfico_4A" hidden="1">#REF!</definedName>
    <definedName name="_225__123Graph_BCHART_7" hidden="1">#REF!</definedName>
    <definedName name="_226____________________________________________________________________________________________________123Graph_AGráfico_4A" hidden="1">#REF!</definedName>
    <definedName name="_227____________________________________________________________________________________________________123Graph_BGráfico_4A" hidden="1">#REF!</definedName>
    <definedName name="_228____________________________________________________________________________________________________123Graph_XGráfico_4A" hidden="1">#REF!</definedName>
    <definedName name="_229___________________________________________________________________________________________________123Graph_AGráfico_4A" hidden="1">#REF!</definedName>
    <definedName name="_22ÿ__TAB">#REF!</definedName>
    <definedName name="_23__123Graph_BCHART_11" hidden="1">#REF!</definedName>
    <definedName name="_23__123Graph_BCHART_12" hidden="1">#REF!</definedName>
    <definedName name="_23__123Graph_BCHART_16" hidden="1">#REF!</definedName>
    <definedName name="_230___________________________________________________________________________________________________123Graph_BGráfico_4A" hidden="1">#REF!</definedName>
    <definedName name="_231___________________________________________________________________________________________________123Graph_XGráfico_4A" hidden="1">#REF!</definedName>
    <definedName name="_232__________________________________________________________________________________________________123Graph_AGráfico_4A" hidden="1">#REF!</definedName>
    <definedName name="_233__________________________________________________________________________________________________123Graph_BGráfico_4A" hidden="1">#REF!</definedName>
    <definedName name="_234__________________________________________________________________________________________________123Graph_XGráfico_4A" hidden="1">#REF!</definedName>
    <definedName name="_234__123Graph_BCHART_8" hidden="1">#REF!</definedName>
    <definedName name="_235_________________________________________________________________________________________________123Graph_AGráfico_4A" hidden="1">#REF!</definedName>
    <definedName name="_236_________________________________________________________________________________________________123Graph_BGráfico_4A" hidden="1">#REF!</definedName>
    <definedName name="_237_________________________________________________________________________________________________123Graph_XGráfico_4A" hidden="1">#REF!</definedName>
    <definedName name="_238________________________________________________________________________________________________123Graph_AGráfico_4A" hidden="1">#REF!</definedName>
    <definedName name="_239________________________________________________________________________________________________123Graph_BGráfico_4A" hidden="1">#REF!</definedName>
    <definedName name="_24__123Graph_ACHART_16" hidden="1">#REF!</definedName>
    <definedName name="_24__123Graph_BCHART_12" hidden="1">#REF!</definedName>
    <definedName name="_24__123Graph_BCHART_13" hidden="1">#REF!</definedName>
    <definedName name="_24_4_0__123Grap" hidden="1">#REF!</definedName>
    <definedName name="_24_B_0__123Graph_XGráfico" hidden="1">#REF!</definedName>
    <definedName name="_240________________________________________________________________________________________________123Graph_XGráfico_4A" hidden="1">#REF!</definedName>
    <definedName name="_241_______________________________________________________________________________________________123Graph_AGráfico_4A" hidden="1">#REF!</definedName>
    <definedName name="_242_______________________________________________________________________________________________123Graph_BGráfico_4A" hidden="1">#REF!</definedName>
    <definedName name="_243_______________________________________________________________________________________________123Graph_XGráfico_4A" hidden="1">#REF!</definedName>
    <definedName name="_243__123Graph_BCHART_9" hidden="1">#REF!</definedName>
    <definedName name="_244______________________________________________________________________________________________123Graph_AGráfico_4A" hidden="1">#REF!</definedName>
    <definedName name="_245______________________________________________________________________________________________123Graph_BGráfico_4A" hidden="1">#REF!</definedName>
    <definedName name="_246______________________________________________________________________________________________123Graph_XGráfico_4A" hidden="1">#REF!</definedName>
    <definedName name="_247_____________________________________________________________________________________________123Graph_AGráfico_4A" hidden="1">#REF!</definedName>
    <definedName name="_248_____________________________________________________________________________________________123Graph_BGráfico_4A" hidden="1">#REF!</definedName>
    <definedName name="_249_____________________________________________________________________________________________123Graph_XGráfico_4A" hidden="1">#REF!</definedName>
    <definedName name="_24B_0__123Graph_XGráfico" hidden="1">#REF!</definedName>
    <definedName name="_25__123Graph_BCHART_13" hidden="1">#REF!</definedName>
    <definedName name="_25__123Graph_BCHART_14" hidden="1">#REF!</definedName>
    <definedName name="_250____________________________________________________________________________________________123Graph_AGráfico_4A" hidden="1">#REF!</definedName>
    <definedName name="_251____________________________________________________________________________________________123Graph_BGráfico_4A" hidden="1">#REF!</definedName>
    <definedName name="_252____________________________________________________________________________________________123Graph_XGráfico_4A" hidden="1">#REF!</definedName>
    <definedName name="_253___________________________________________________________________________________________123Graph_AGráfico_4A" hidden="1">#REF!</definedName>
    <definedName name="_254___________________________________________________________________________________________123Graph_BGráfico_4A" hidden="1">#REF!</definedName>
    <definedName name="_255___________________________________________________________________________________________123Graph_XGráfico_4A" hidden="1">#REF!</definedName>
    <definedName name="_256__________________________________________________________________________________________123Graph_AGráfico_4A" hidden="1">#REF!</definedName>
    <definedName name="_257__________________________________________________________________________________________123Graph_BGráfico_4A" hidden="1">#REF!</definedName>
    <definedName name="_258__________________________________________________________________________________________123Graph_XGráfico_4A" hidden="1">#REF!</definedName>
    <definedName name="_259_________________________________________________________________________________________123Graph_AGráfico_4A" hidden="1">#REF!</definedName>
    <definedName name="_25B____123Graph_XGráfico" hidden="1">#REF!</definedName>
    <definedName name="_26__123Graph_BCHART_14" hidden="1">#REF!</definedName>
    <definedName name="_26__123Graph_BCHART_15" hidden="1">#REF!</definedName>
    <definedName name="_26_0_0tempora">#REF!</definedName>
    <definedName name="_260_________________________________________________________________________________________123Graph_BGráfico_4A" hidden="1">#REF!</definedName>
    <definedName name="_261_________________________________________________________________________________________123Graph_XGráfico_4A" hidden="1">#REF!</definedName>
    <definedName name="_262________________________________________________________________________________________123Graph_AGráfico_4A" hidden="1">#REF!</definedName>
    <definedName name="_263________________________________________________________________________________________123Graph_BGráfico_4A" hidden="1">#REF!</definedName>
    <definedName name="_263__123Graph_CCHART_10" hidden="1">#REF!</definedName>
    <definedName name="_264________________________________________________________________________________________123Graph_XGráfico_4A" hidden="1">#REF!</definedName>
    <definedName name="_265_______________________________________________________________________________________123Graph_AGráfico_4A" hidden="1">#REF!</definedName>
    <definedName name="_266_______________________________________________________________________________________123Graph_BGráfico_4A" hidden="1">#REF!</definedName>
    <definedName name="_267_______________________________________________________________________________________123Graph_XGráfico_4A" hidden="1">#REF!</definedName>
    <definedName name="_268______________________________________________________________________________________123Graph_AGráfico_4A" hidden="1">#REF!</definedName>
    <definedName name="_269______________________________________________________________________________________123Graph_BGráfico_4A" hidden="1">#REF!</definedName>
    <definedName name="_26B_0__123Graph_XGráfico" hidden="1">#REF!</definedName>
    <definedName name="_27__123Graph_ACHART_7" hidden="1">#REF!</definedName>
    <definedName name="_27__123Graph_BCHART_15" hidden="1">#REF!</definedName>
    <definedName name="_27__123Graph_BCHART_16" hidden="1">#REF!</definedName>
    <definedName name="_27_0_0tempora">#REF!</definedName>
    <definedName name="_27_B____123Graph_XGráfico" hidden="1">#REF!</definedName>
    <definedName name="_270______________________________________________________________________________________123Graph_XGráfico_4A" hidden="1">#REF!</definedName>
    <definedName name="_271_____________________________________________________________________________________123Graph_AGráfico_4A" hidden="1">#REF!</definedName>
    <definedName name="_272_____________________________________________________________________________________123Graph_BGráfico_4A" hidden="1">#REF!</definedName>
    <definedName name="_272__123Graph_CCHART_11" hidden="1">#REF!</definedName>
    <definedName name="_273_____________________________________________________________________________________123Graph_XGráfico_4A" hidden="1">#REF!</definedName>
    <definedName name="_274____________________________________________________________________________________123Graph_AGráfico_4A" hidden="1">#REF!</definedName>
    <definedName name="_275____________________________________________________________________________________123Graph_BGráfico_4A" hidden="1">#REF!</definedName>
    <definedName name="_276____________________________________________________________________________________123Graph_XGráfico_4A" hidden="1">#REF!</definedName>
    <definedName name="_277___________________________________________________________________________________123Graph_AGráfico_4A" hidden="1">#REF!</definedName>
    <definedName name="_278___________________________________________________________________________________123Graph_BGráfico_4A" hidden="1">#REF!</definedName>
    <definedName name="_279___________________________________________________________________________________123Graph_XGráfico_4A" hidden="1">#REF!</definedName>
    <definedName name="_27B_0__123Graph_XGráfico" hidden="1">#REF!</definedName>
    <definedName name="_28_____________________________123Graph_AGráfico_4A" hidden="1">#REF!</definedName>
    <definedName name="_28___123Graph_BGráfico_4A" hidden="1">#REF!</definedName>
    <definedName name="_28__123Graph_ACHART_8" hidden="1">#REF!</definedName>
    <definedName name="_28__123Graph_AGráfico_4A" hidden="1">#REF!</definedName>
    <definedName name="_28__123Graph_BCHART_16" hidden="1">#REF!</definedName>
    <definedName name="_28__123Graph_BCHART_7" hidden="1">#REF!</definedName>
    <definedName name="_28_4____123Grap" hidden="1">#REF!</definedName>
    <definedName name="_28_4_0__123Grap" hidden="1">#REF!</definedName>
    <definedName name="_28_B_0__123Graph_XGráfico" hidden="1">#REF!</definedName>
    <definedName name="_280__________________________________________________________________________________123Graph_AGráfico_4A" hidden="1">#REF!</definedName>
    <definedName name="_281__________________________________________________________________________________123Graph_BGráfico_4A" hidden="1">#REF!</definedName>
    <definedName name="_281__123Graph_CCHART_12" hidden="1">#REF!</definedName>
    <definedName name="_282__________________________________________________________________________________123Graph_XGráfico_4A" hidden="1">#REF!</definedName>
    <definedName name="_283_________________________________________________________________________________123Graph_AGráfico_4A" hidden="1">#REF!</definedName>
    <definedName name="_284_________________________________________________________________________________123Graph_BGráfico_4A" hidden="1">#REF!</definedName>
    <definedName name="_285_________________________________________________________________________________123Graph_XGráfico_4A" hidden="1">#REF!</definedName>
    <definedName name="_286________________________________________________________________________________123Graph_AGráfico_4A" hidden="1">#REF!</definedName>
    <definedName name="_287________________________________________________________________________________123Graph_BGráfico_4A" hidden="1">#REF!</definedName>
    <definedName name="_288________________________________________________________________________________123Graph_XGráfico_4A" hidden="1">#REF!</definedName>
    <definedName name="_289_______________________________________________________________________________123Graph_AGráfico_4A" hidden="1">#REF!</definedName>
    <definedName name="_29_____________________________123Graph_BGráfico_4A" hidden="1">#REF!</definedName>
    <definedName name="_29__123Graph_ACHART_9" hidden="1">#REF!</definedName>
    <definedName name="_29__123Graph_BCHART_8" hidden="1">#REF!</definedName>
    <definedName name="_290_______________________________________________________________________________123Graph_BGráfico_4A" hidden="1">#REF!</definedName>
    <definedName name="_290__123Graph_CCHART_13" hidden="1">#REF!</definedName>
    <definedName name="_291_______________________________________________________________________________123Graph_XGráfico_4A" hidden="1">#REF!</definedName>
    <definedName name="_292______________________________________________________________________________123Graph_AGráfico_4A" hidden="1">#REF!</definedName>
    <definedName name="_293______________________________________________________________________________123Graph_BGráfico_4A" hidden="1">#REF!</definedName>
    <definedName name="_294______________________________________________________________________________123Graph_XGráfico_4A" hidden="1">#REF!</definedName>
    <definedName name="_295_____________________________________________________________________________123Graph_AGráfico_4A" hidden="1">#REF!</definedName>
    <definedName name="_296_____________________________________________________________________________123Graph_BGráfico_4A" hidden="1">#REF!</definedName>
    <definedName name="_297_____________________________________________________________________________123Graph_XGráfico_4A" hidden="1">#REF!</definedName>
    <definedName name="_298____________________________________________________________________________123Graph_AGráfico_4A" hidden="1">#REF!</definedName>
    <definedName name="_299____________________________________________________________________________123Graph_BGráfico_4A" hidden="1">#REF!</definedName>
    <definedName name="_299__123Graph_CCHART_14" hidden="1">#REF!</definedName>
    <definedName name="_3_">#REF!</definedName>
    <definedName name="_3___123Graph_AGráfico_4A" hidden="1">#REF!</definedName>
    <definedName name="_3__123Graph_ACHART_11" hidden="1">#REF!</definedName>
    <definedName name="_3__123Graph_ACHART_2" hidden="1">#REF!</definedName>
    <definedName name="_3__123Graph_ACHART_4" hidden="1">#REF!</definedName>
    <definedName name="_3__123Graph_AGráfico_4A" hidden="1">#REF!</definedName>
    <definedName name="_3__xl5" hidden="1">{"Actual Equipment",#N/A,FALSE,"BA D5"}</definedName>
    <definedName name="_30_____________________________123Graph_XGráfico_4A" hidden="1">#REF!</definedName>
    <definedName name="_30__123Graph_BCHART_9" hidden="1">#REF!</definedName>
    <definedName name="_30_B_0__123Graph_XGráfico" hidden="1">#REF!</definedName>
    <definedName name="_300____________________________________________________________________________123Graph_XGráfico_4A" hidden="1">#REF!</definedName>
    <definedName name="_301___________________________________________________________________________123Graph_AGráfico_4A" hidden="1">#REF!</definedName>
    <definedName name="_302___________________________________________________________________________123Graph_BGráfico_4A" hidden="1">#REF!</definedName>
    <definedName name="_303___________________________________________________________________________123Graph_XGráfico_4A" hidden="1">#REF!</definedName>
    <definedName name="_304__________________________________________________________________________123Graph_AGráfico_4A" hidden="1">#REF!</definedName>
    <definedName name="_305__________________________________________________________________________123Graph_BGráfico_4A" hidden="1">#REF!</definedName>
    <definedName name="_306__________________________________________________________________________123Graph_XGráfico_4A" hidden="1">#REF!</definedName>
    <definedName name="_307_________________________________________________________________________123Graph_AGráfico_4A" hidden="1">#REF!</definedName>
    <definedName name="_308_________________________________________________________________________123Graph_BGráfico_4A" hidden="1">#REF!</definedName>
    <definedName name="_308__123Graph_CCHART_15" hidden="1">#REF!</definedName>
    <definedName name="_309_________________________________________________________________________123Graph_XGráfico_4A" hidden="1">#REF!</definedName>
    <definedName name="_31____________________________123Graph_AGráfico_4A" hidden="1">#REF!</definedName>
    <definedName name="_31__123Graph_BCHART_1" hidden="1">#REF!</definedName>
    <definedName name="_31__123Graph_CCHART_10" hidden="1">#REF!</definedName>
    <definedName name="_310________________________________________________________________________123Graph_AGráfico_4A" hidden="1">#REF!</definedName>
    <definedName name="_311________________________________________________________________________123Graph_BGráfico_4A" hidden="1">#REF!</definedName>
    <definedName name="_312________________________________________________________________________123Graph_XGráfico_4A" hidden="1">#REF!</definedName>
    <definedName name="_313_______________________________________________________________________123Graph_AGráfico_4A" hidden="1">#REF!</definedName>
    <definedName name="_314_______________________________________________________________________123Graph_BGráfico_4A" hidden="1">#REF!</definedName>
    <definedName name="_315_______________________________________________________________________123Graph_XGráfico_4A" hidden="1">#REF!</definedName>
    <definedName name="_316______________________________________________________________________123Graph_AGráfico_4A" hidden="1">#REF!</definedName>
    <definedName name="_317______________________________________________________________________123Graph_BGráfico_4A" hidden="1">#REF!</definedName>
    <definedName name="_317__123Graph_CCHART_16" hidden="1">#REF!</definedName>
    <definedName name="_318______________________________________________________________________123Graph_XGráfico_4A" hidden="1">#REF!</definedName>
    <definedName name="_319_____________________________________________________________________123Graph_AGráfico_4A" hidden="1">#REF!</definedName>
    <definedName name="_32____________________________123Graph_BGráfico_4A" hidden="1">#REF!</definedName>
    <definedName name="_32__123Graph_BCHART_10" hidden="1">#REF!</definedName>
    <definedName name="_32__123Graph_BCHART_7" hidden="1">#REF!</definedName>
    <definedName name="_32__123Graph_CCHART_11" hidden="1">#REF!</definedName>
    <definedName name="_320_____________________________________________________________________123Graph_BGráfico_4A" hidden="1">#REF!</definedName>
    <definedName name="_321_____________________________________________________________________123Graph_XGráfico_4A" hidden="1">#REF!</definedName>
    <definedName name="_323____________________________________________________________________123Graph_AGráfico_4A" hidden="1">#REF!</definedName>
    <definedName name="_324____________________________________________________________________123Graph_BGráfico_4A" hidden="1">#REF!</definedName>
    <definedName name="_325____________________________________________________________________123Graph_XGráfico_4A" hidden="1">#REF!</definedName>
    <definedName name="_326____________________________________________________________________4_0__123Grap" hidden="1">#REF!</definedName>
    <definedName name="_326__123Graph_CCHART_7" hidden="1">#REF!</definedName>
    <definedName name="_33____________________________123Graph_XGráfico_4A" hidden="1">#REF!</definedName>
    <definedName name="_33__123Graph_BCHART_11" hidden="1">#REF!</definedName>
    <definedName name="_33__123Graph_BCHART_7" hidden="1">#REF!</definedName>
    <definedName name="_33__123Graph_BCHART_8" hidden="1">#REF!</definedName>
    <definedName name="_33__123Graph_CCHART_12" hidden="1">#REF!</definedName>
    <definedName name="_331____________________________________________________________________B_0__123Graph_XGráfico" hidden="1">#REF!</definedName>
    <definedName name="_334___________________________________________________________________123Graph_AGráfico_4A" hidden="1">#REF!</definedName>
    <definedName name="_335___________________________________________________________________123Graph_BGráfico_4A" hidden="1">#REF!</definedName>
    <definedName name="_335__123Graph_CCHART_8" hidden="1">#REF!</definedName>
    <definedName name="_336___________________________________________________________________123Graph_XGráfico_4A" hidden="1">#REF!</definedName>
    <definedName name="_337___________________________________________________________________4_0__123Grap" hidden="1">#REF!</definedName>
    <definedName name="_34___________________________123Graph_AGráfico_4A" hidden="1">#REF!</definedName>
    <definedName name="_34__123Graph_BCHART_12" hidden="1">#REF!</definedName>
    <definedName name="_34__123Graph_BCHART_8" hidden="1">#REF!</definedName>
    <definedName name="_34__123Graph_BCHART_9" hidden="1">#REF!</definedName>
    <definedName name="_34__123Graph_CCHART_13" hidden="1">#REF!</definedName>
    <definedName name="_34_4_0__123Grap" hidden="1">#REF!</definedName>
    <definedName name="_342___________________________________________________________________B_0__123Graph_XGráfico" hidden="1">#REF!</definedName>
    <definedName name="_344__123Graph_CCHART_9" hidden="1">#REF!</definedName>
    <definedName name="_345__________________________________________________________________123Graph_AGráfico_4A" hidden="1">#REF!</definedName>
    <definedName name="_346__________________________________________________________________123Graph_BGráfico_4A" hidden="1">#REF!</definedName>
    <definedName name="_347__________________________________________________________________123Graph_XGráfico_4A" hidden="1">#REF!</definedName>
    <definedName name="_348__________________________________________________________________4_0__123Grap" hidden="1">#REF!</definedName>
    <definedName name="_35___________________________123Graph_BGráfico_4A" hidden="1">#REF!</definedName>
    <definedName name="_35___123Graph_XGráfico_4A" hidden="1">#REF!</definedName>
    <definedName name="_35__123Graph_BCHART_13" hidden="1">#REF!</definedName>
    <definedName name="_35__123Graph_BCHART_9" hidden="1">#REF!</definedName>
    <definedName name="_35__123Graph_BGráfico_4A" hidden="1">#REF!</definedName>
    <definedName name="_35__123Graph_CCHART_14" hidden="1">#REF!</definedName>
    <definedName name="_35_4_0__123Grap" hidden="1">#REF!</definedName>
    <definedName name="_353__________________________________________________________________B_0__123Graph_XGráfico" hidden="1">#REF!</definedName>
    <definedName name="_353__123Graph_XCHART_10" hidden="1">#REF!</definedName>
    <definedName name="_356_________________________________________________________________123Graph_AGráfico_4A" hidden="1">#REF!</definedName>
    <definedName name="_357_________________________________________________________________123Graph_BGráfico_4A" hidden="1">#REF!</definedName>
    <definedName name="_358_________________________________________________________________123Graph_XGráfico_4A" hidden="1">#REF!</definedName>
    <definedName name="_359_________________________________________________________________4_0__123Grap" hidden="1">#REF!</definedName>
    <definedName name="_36___________________________123Graph_XGráfico_4A" hidden="1">#REF!</definedName>
    <definedName name="_36__123Graph_BCHART_14" hidden="1">#REF!</definedName>
    <definedName name="_36__123Graph_CCHART_10" hidden="1">#REF!</definedName>
    <definedName name="_36__123Graph_CCHART_15" hidden="1">#REF!</definedName>
    <definedName name="_36_B_0__123Graph_XGráfico" hidden="1">#REF!</definedName>
    <definedName name="_362__123Graph_XCHART_11" hidden="1">#REF!</definedName>
    <definedName name="_364_________________________________________________________________B_0__123Graph_XGráfico" hidden="1">#REF!</definedName>
    <definedName name="_367________________________________________________________________123Graph_AGráfico_4A" hidden="1">#REF!</definedName>
    <definedName name="_368________________________________________________________________123Graph_BGráfico_4A" hidden="1">#REF!</definedName>
    <definedName name="_369________________________________________________________________123Graph_XGráfico_4A" hidden="1">#REF!</definedName>
    <definedName name="_37__________________________123Graph_AGráfico_4A" hidden="1">#REF!</definedName>
    <definedName name="_37__123Graph_BCHART_15" hidden="1">#REF!</definedName>
    <definedName name="_37__123Graph_CCHART_10" hidden="1">#REF!</definedName>
    <definedName name="_37__123Graph_CCHART_11" hidden="1">#REF!</definedName>
    <definedName name="_37__123Graph_CCHART_16" hidden="1">#REF!</definedName>
    <definedName name="_370________________________________________________________________4_0__123Grap" hidden="1">#REF!</definedName>
    <definedName name="_371__123Graph_XCHART_12" hidden="1">#REF!</definedName>
    <definedName name="_375________________________________________________________________B_0__123Graph_XGráfico" hidden="1">#REF!</definedName>
    <definedName name="_378_______________________________________________________________123Graph_AGráfico_4A" hidden="1">#REF!</definedName>
    <definedName name="_379_______________________________________________________________123Graph_BGráfico_4A" hidden="1">#REF!</definedName>
    <definedName name="_38__________________________123Graph_BGráfico_4A" hidden="1">#REF!</definedName>
    <definedName name="_38__123Graph_ACHART_7" hidden="1">#REF!</definedName>
    <definedName name="_38__123Graph_BCHART_16" hidden="1">#REF!</definedName>
    <definedName name="_38__123Graph_CCHART_11" hidden="1">#REF!</definedName>
    <definedName name="_38__123Graph_CCHART_12" hidden="1">#REF!</definedName>
    <definedName name="_38__123Graph_CCHART_7" hidden="1">#REF!</definedName>
    <definedName name="_380_______________________________________________________________123Graph_XGráfico_4A" hidden="1">#REF!</definedName>
    <definedName name="_380__123Graph_XCHART_13" hidden="1">#REF!</definedName>
    <definedName name="_381_______________________________________________________________4_0__123Grap" hidden="1">#REF!</definedName>
    <definedName name="_386_______________________________________________________________B_0__123Graph_XGráfico" hidden="1">#REF!</definedName>
    <definedName name="_389______________________________________________________________123Graph_AGráfico_4A" hidden="1">#REF!</definedName>
    <definedName name="_389__123Graph_XCHART_14" hidden="1">#REF!</definedName>
    <definedName name="_39__________________________123Graph_XGráfico_4A" hidden="1">#REF!</definedName>
    <definedName name="_39__123Graph_CCHART_12" hidden="1">#REF!</definedName>
    <definedName name="_39__123Graph_CCHART_13" hidden="1">#REF!</definedName>
    <definedName name="_39__123Graph_CCHART_8" hidden="1">#REF!</definedName>
    <definedName name="_390______________________________________________________________123Graph_BGráfico_4A" hidden="1">#REF!</definedName>
    <definedName name="_391______________________________________________________________123Graph_XGráfico_4A" hidden="1">#REF!</definedName>
    <definedName name="_392______________________________________________________________4_0__123Grap" hidden="1">#REF!</definedName>
    <definedName name="_397______________________________________________________________B_0__123Graph_XGráfico" hidden="1">#REF!</definedName>
    <definedName name="_398__123Graph_XCHART_15" hidden="1">#REF!</definedName>
    <definedName name="_3T">#REF!</definedName>
    <definedName name="_4____123Graph_AGráfico_4A" hidden="1">#REF!</definedName>
    <definedName name="_4___123Graph_BGráfico_4A" hidden="1">#REF!</definedName>
    <definedName name="_4__123Graph_ACHART_1" hidden="1">#REF!</definedName>
    <definedName name="_4__123Graph_ACHART_12" hidden="1">#REF!</definedName>
    <definedName name="_4__123Graph_ACHART_5" hidden="1">#REF!</definedName>
    <definedName name="_4__123Graph_AGráfico_4A" hidden="1">#REF!</definedName>
    <definedName name="_4__123Graph_BGráfico_4A" hidden="1">#REF!</definedName>
    <definedName name="_4__xl5" hidden="1">{"Actual Equipment",#N/A,FALSE,"BA D5"}</definedName>
    <definedName name="_4_0_0_F" hidden="1">#REF!</definedName>
    <definedName name="_40_________________________123Graph_AGráfico_4A" hidden="1">#REF!</definedName>
    <definedName name="_40__123Graph_ACHART_8" hidden="1">#REF!</definedName>
    <definedName name="_40__123Graph_CCHART_13" hidden="1">#REF!</definedName>
    <definedName name="_40__123Graph_CCHART_14" hidden="1">#REF!</definedName>
    <definedName name="_40__123Graph_CCHART_9" hidden="1">#REF!</definedName>
    <definedName name="_400_____________________________________________________________123Graph_AGráfico_4A" hidden="1">#REF!</definedName>
    <definedName name="_401_____________________________________________________________123Graph_BGráfico_4A" hidden="1">#REF!</definedName>
    <definedName name="_402_____________________________________________________________123Graph_XGráfico_4A" hidden="1">#REF!</definedName>
    <definedName name="_403_____________________________________________________________4_0__123Grap" hidden="1">#REF!</definedName>
    <definedName name="_407__123Graph_XCHART_16" hidden="1">#REF!</definedName>
    <definedName name="_408_____________________________________________________________B_0__123Graph_XGráfico" hidden="1">#REF!</definedName>
    <definedName name="_408__123Graph_XCHART_2" hidden="1">#REF!</definedName>
    <definedName name="_409__123Graph_XCHART_3" hidden="1">#REF!</definedName>
    <definedName name="_41_________________________123Graph_BGráfico_4A" hidden="1">#REF!</definedName>
    <definedName name="_41__123Graph_CCHART_14" hidden="1">#REF!</definedName>
    <definedName name="_41__123Graph_CCHART_15" hidden="1">#REF!</definedName>
    <definedName name="_41__123Graph_XCHART_10" hidden="1">#REF!</definedName>
    <definedName name="_41_5_0TTRA">#REF!</definedName>
    <definedName name="_410__123Graph_XCHART_4" hidden="1">#REF!</definedName>
    <definedName name="_411____________________________________________________________123Graph_AGráfico_4A" hidden="1">#REF!</definedName>
    <definedName name="_411__123Graph_XCHART_5" hidden="1">#REF!</definedName>
    <definedName name="_412____________________________________________________________123Graph_BGráfico_4A" hidden="1">#REF!</definedName>
    <definedName name="_413____________________________________________________________123Graph_XGráfico_4A" hidden="1">#REF!</definedName>
    <definedName name="_414____________________________________________________________4_0__123Grap" hidden="1">#REF!</definedName>
    <definedName name="_419____________________________________________________________B_0__123Graph_XGráfico" hidden="1">#REF!</definedName>
    <definedName name="_42_________________________123Graph_XGráfico_4A" hidden="1">#REF!</definedName>
    <definedName name="_42__123Graph_ACHART_9" hidden="1">#REF!</definedName>
    <definedName name="_42__123Graph_CCHART_15" hidden="1">#REF!</definedName>
    <definedName name="_42__123Graph_CCHART_16" hidden="1">#REF!</definedName>
    <definedName name="_42__123Graph_XCHART_11" hidden="1">#REF!</definedName>
    <definedName name="_42__123Graph_XGráfico_4A" hidden="1">#REF!</definedName>
    <definedName name="_42_5_0TTRA">#REF!</definedName>
    <definedName name="_420__123Graph_XCHART_8" hidden="1">#REF!</definedName>
    <definedName name="_422___________________________________________________________123Graph_AGráfico_4A" hidden="1">#REF!</definedName>
    <definedName name="_423___________________________________________________________123Graph_BGráfico_4A" hidden="1">#REF!</definedName>
    <definedName name="_424___________________________________________________________123Graph_XGráfico_4A" hidden="1">#REF!</definedName>
    <definedName name="_425___________________________________________________________4_0__123Grap" hidden="1">#REF!</definedName>
    <definedName name="_429__123Graph_XCHART_9" hidden="1">#REF!</definedName>
    <definedName name="_43________________________123Graph_AGráfico_4A" hidden="1">#REF!</definedName>
    <definedName name="_43__123Graph_ACHART_1" hidden="1">#REF!</definedName>
    <definedName name="_43__123Graph_BCHART_7" hidden="1">#REF!</definedName>
    <definedName name="_43__123Graph_CCHART_16" hidden="1">#REF!</definedName>
    <definedName name="_43__123Graph_CCHART_7" hidden="1">#REF!</definedName>
    <definedName name="_43__123Graph_XCHART_12" hidden="1">#REF!</definedName>
    <definedName name="_43_5__TTRA">#REF!</definedName>
    <definedName name="_430___________________________________________________________B_0__123Graph_XGráfico" hidden="1">#REF!</definedName>
    <definedName name="_433__________________________________________________________123Graph_AGráfico_4A" hidden="1">#REF!</definedName>
    <definedName name="_434__________________________________________________________123Graph_BGráfico_4A" hidden="1">#REF!</definedName>
    <definedName name="_435__________________________________________________________123Graph_XGráfico_4A" hidden="1">#REF!</definedName>
    <definedName name="_436__________________________________________________________4_0__123Grap" hidden="1">#REF!</definedName>
    <definedName name="_44________________________123Graph_BGráfico_4A" hidden="1">#REF!</definedName>
    <definedName name="_44__123Graph_BCHART_8" hidden="1">#REF!</definedName>
    <definedName name="_44__123Graph_CCHART_7" hidden="1">#REF!</definedName>
    <definedName name="_44__123Graph_CCHART_8" hidden="1">#REF!</definedName>
    <definedName name="_44__123Graph_XCHART_13" hidden="1">#REF!</definedName>
    <definedName name="_441__________________________________________________________B_0__123Graph_XGráfico" hidden="1">#REF!</definedName>
    <definedName name="_444_________________________________________________________123Graph_AGráfico_4A" hidden="1">#REF!</definedName>
    <definedName name="_445_________________________________________________________123Graph_BGráfico_4A" hidden="1">#REF!</definedName>
    <definedName name="_446_________________________________________________________123Graph_XGráfico_4A" hidden="1">#REF!</definedName>
    <definedName name="_447_________________________________________________________4_0__123Grap" hidden="1">#REF!</definedName>
    <definedName name="_45________________________123Graph_XGráfico_4A" hidden="1">#REF!</definedName>
    <definedName name="_45__123Graph_BCHART_9" hidden="1">#REF!</definedName>
    <definedName name="_45__123Graph_CCHART_8" hidden="1">#REF!</definedName>
    <definedName name="_45__123Graph_CCHART_9" hidden="1">#REF!</definedName>
    <definedName name="_45__123Graph_XCHART_14" hidden="1">#REF!</definedName>
    <definedName name="_452_________________________________________________________B_0__123Graph_XGráfico" hidden="1">#REF!</definedName>
    <definedName name="_455________________________________________________________123Graph_AGráfico_4A" hidden="1">#REF!</definedName>
    <definedName name="_456________________________________________________________123Graph_BGráfico_4A" hidden="1">#REF!</definedName>
    <definedName name="_457________________________________________________________123Graph_XGráfico_4A" hidden="1">#REF!</definedName>
    <definedName name="_458________________________________________________________4_0__123Grap" hidden="1">#REF!</definedName>
    <definedName name="_46_______________________123Graph_AGráfico_4A" hidden="1">#REF!</definedName>
    <definedName name="_46__123Graph_BCHART_1" hidden="1">#REF!</definedName>
    <definedName name="_46__123Graph_CCHART_9" hidden="1">#REF!</definedName>
    <definedName name="_46__123Graph_XCHART_10" hidden="1">#REF!</definedName>
    <definedName name="_46__123Graph_XCHART_15" hidden="1">#REF!</definedName>
    <definedName name="_463________________________________________________________B_0__123Graph_XGráfico" hidden="1">#REF!</definedName>
    <definedName name="_466_______________________________________________________123Graph_AGráfico_4A" hidden="1">#REF!</definedName>
    <definedName name="_467_______________________________________________________123Graph_BGráfico_4A" hidden="1">#REF!</definedName>
    <definedName name="_468_______________________________________________________123Graph_XGráfico_4A" hidden="1">#REF!</definedName>
    <definedName name="_469_______________________________________________________4_0__123Grap" hidden="1">#REF!</definedName>
    <definedName name="_47_______________________123Graph_BGráfico_4A" hidden="1">#REF!</definedName>
    <definedName name="_47__123Graph_CCHART_10" hidden="1">#REF!</definedName>
    <definedName name="_47__123Graph_XCHART_10" hidden="1">#REF!</definedName>
    <definedName name="_47__123Graph_XCHART_11" hidden="1">#REF!</definedName>
    <definedName name="_47__123Graph_XCHART_16" hidden="1">#REF!</definedName>
    <definedName name="_474_______________________________________________________B_0__123Graph_XGráfico" hidden="1">#REF!</definedName>
    <definedName name="_477______________________________________________________123Graph_AGráfico_4A" hidden="1">#REF!</definedName>
    <definedName name="_478______________________________________________________123Graph_BGráfico_4A" hidden="1">#REF!</definedName>
    <definedName name="_479______________________________________________________123Graph_XGráfico_4A" hidden="1">#REF!</definedName>
    <definedName name="_48_______________________123Graph_XGráfico_4A" hidden="1">#REF!</definedName>
    <definedName name="_48__123Graph_BCHART_10" hidden="1">#REF!</definedName>
    <definedName name="_48__123Graph_CCHART_11" hidden="1">#REF!</definedName>
    <definedName name="_48__123Graph_XCHART_11" hidden="1">#REF!</definedName>
    <definedName name="_48__123Graph_XCHART_12" hidden="1">#REF!</definedName>
    <definedName name="_48__123Graph_XCHART_2" hidden="1">#REF!</definedName>
    <definedName name="_48_B_0__123Graph_XGráfico" hidden="1">#REF!</definedName>
    <definedName name="_480______________________________________________________4_0__123Grap" hidden="1">#REF!</definedName>
    <definedName name="_485______________________________________________________B_0__123Graph_XGráfico" hidden="1">#REF!</definedName>
    <definedName name="_488_____________________________________________________123Graph_AGráfico_4A" hidden="1">#REF!</definedName>
    <definedName name="_489_____________________________________________________123Graph_BGráfico_4A" hidden="1">#REF!</definedName>
    <definedName name="_49______________________123Graph_AGráfico_4A" hidden="1">#REF!</definedName>
    <definedName name="_49__123Graph_CCHART_12" hidden="1">#REF!</definedName>
    <definedName name="_49__123Graph_XCHART_12" hidden="1">#REF!</definedName>
    <definedName name="_49__123Graph_XCHART_13" hidden="1">#REF!</definedName>
    <definedName name="_49__123Graph_XCHART_3" hidden="1">#REF!</definedName>
    <definedName name="_49_4_0__123Grap" hidden="1">#REF!</definedName>
    <definedName name="_49_6_0ACETA">#REF!</definedName>
    <definedName name="_490_____________________________________________________123Graph_XGráfico_4A" hidden="1">#REF!</definedName>
    <definedName name="_491_____________________________________________________4_0__123Grap" hidden="1">#REF!</definedName>
    <definedName name="_496_____________________________________________________B_0__123Graph_XGráfico" hidden="1">#REF!</definedName>
    <definedName name="_499____________________________________________________123Graph_AGráfico_4A" hidden="1">#REF!</definedName>
    <definedName name="_5____123Graph_BGráfico_4A" hidden="1">#REF!</definedName>
    <definedName name="_5___123Graph_AGráfico_4A" hidden="1">#REF!</definedName>
    <definedName name="_5___123Graph_XGráfico_4A" hidden="1">#REF!</definedName>
    <definedName name="_5__123Graph_ACHART_1" hidden="1">#REF!</definedName>
    <definedName name="_5__123Graph_ACHART_10" hidden="1">#REF!</definedName>
    <definedName name="_5__123Graph_ACHART_13" hidden="1">#REF!</definedName>
    <definedName name="_5__123Graph_ACHART_3" hidden="1">#REF!</definedName>
    <definedName name="_5__123Graph_AGráfico_4A" hidden="1">#REF!</definedName>
    <definedName name="_5__123Graph_BCHART_1" hidden="1">#REF!</definedName>
    <definedName name="_5__123Graph_BGráfico_4A" hidden="1">#REF!</definedName>
    <definedName name="_5__123Graph_XGráfico_4A" hidden="1">#REF!</definedName>
    <definedName name="_50______________________123Graph_BGráfico_4A" hidden="1">#REF!</definedName>
    <definedName name="_50__123Graph_BCHART_11" hidden="1">#REF!</definedName>
    <definedName name="_50__123Graph_CCHART_13" hidden="1">#REF!</definedName>
    <definedName name="_50__123Graph_XCHART_13" hidden="1">#REF!</definedName>
    <definedName name="_50__123Graph_XCHART_14" hidden="1">#REF!</definedName>
    <definedName name="_50__123Graph_XCHART_4" hidden="1">#REF!</definedName>
    <definedName name="_50_6_0ACETA">#REF!</definedName>
    <definedName name="_500____________________________________________________123Graph_BGráfico_4A" hidden="1">#REF!</definedName>
    <definedName name="_501____________________________________________________123Graph_XGráfico_4A" hidden="1">#REF!</definedName>
    <definedName name="_502____________________________________________________4_0__123Grap" hidden="1">#REF!</definedName>
    <definedName name="_507____________________________________________________B_0__123Graph_XGráfico" hidden="1">#REF!</definedName>
    <definedName name="_51______________________123Graph_XGráfico_4A" hidden="1">#REF!</definedName>
    <definedName name="_51__123Graph_CCHART_14" hidden="1">#REF!</definedName>
    <definedName name="_51__123Graph_XCHART_14" hidden="1">#REF!</definedName>
    <definedName name="_51__123Graph_XCHART_15" hidden="1">#REF!</definedName>
    <definedName name="_51__123Graph_XCHART_5" hidden="1">#REF!</definedName>
    <definedName name="_51_6__ACETA">#REF!</definedName>
    <definedName name="_510___________________________________________________123Graph_AGráfico_4A" hidden="1">#REF!</definedName>
    <definedName name="_511___________________________________________________123Graph_BGráfico_4A" hidden="1">#REF!</definedName>
    <definedName name="_512___________________________________________________123Graph_XGráfico_4A" hidden="1">#REF!</definedName>
    <definedName name="_513___________________________________________________4_0__123Grap" hidden="1">#REF!</definedName>
    <definedName name="_518___________________________________________________B_0__123Graph_XGráfico" hidden="1">#REF!</definedName>
    <definedName name="_52_____________________123Graph_AGráfico_4A" hidden="1">#REF!</definedName>
    <definedName name="_52__123Graph_ACHART_10" hidden="1">#REF!</definedName>
    <definedName name="_52__123Graph_BCHART_12" hidden="1">#REF!</definedName>
    <definedName name="_52__123Graph_CCHART_15" hidden="1">#REF!</definedName>
    <definedName name="_52__123Graph_XCHART_15" hidden="1">#REF!</definedName>
    <definedName name="_52__123Graph_XCHART_16" hidden="1">#REF!</definedName>
    <definedName name="_52__123Graph_XCHART_8" hidden="1">#REF!</definedName>
    <definedName name="_521__________________________________________________123Graph_AGráfico_4A" hidden="1">#REF!</definedName>
    <definedName name="_522__________________________________________________123Graph_BGráfico_4A" hidden="1">#REF!</definedName>
    <definedName name="_523__________________________________________________123Graph_XGráfico_4A" hidden="1">#REF!</definedName>
    <definedName name="_524__________________________________________________4_0__123Grap" hidden="1">#REF!</definedName>
    <definedName name="_529__________________________________________________B_0__123Graph_XGráfico" hidden="1">#REF!</definedName>
    <definedName name="_53_____________________123Graph_BGráfico_4A" hidden="1">#REF!</definedName>
    <definedName name="_53__123Graph_CCHART_16" hidden="1">#REF!</definedName>
    <definedName name="_53__123Graph_XCHART_16" hidden="1">#REF!</definedName>
    <definedName name="_53__123Graph_XCHART_2" hidden="1">#REF!</definedName>
    <definedName name="_53__123Graph_XCHART_9" hidden="1">#REF!</definedName>
    <definedName name="_532_________________________________________________123Graph_AGráfico_4A" hidden="1">#REF!</definedName>
    <definedName name="_533_________________________________________________123Graph_BGráfico_4A" hidden="1">#REF!</definedName>
    <definedName name="_534_________________________________________________123Graph_XGráfico_4A" hidden="1">#REF!</definedName>
    <definedName name="_535_________________________________________________4_0__123Grap" hidden="1">#REF!</definedName>
    <definedName name="_54_____________________123Graph_XGráfico_4A" hidden="1">#REF!</definedName>
    <definedName name="_54__123Graph_BCHART_13" hidden="1">#REF!</definedName>
    <definedName name="_54__123Graph_CCHART_7" hidden="1">#REF!</definedName>
    <definedName name="_54__123Graph_XCHART_2" hidden="1">#REF!</definedName>
    <definedName name="_54__123Graph_XCHART_3" hidden="1">#REF!</definedName>
    <definedName name="_540_________________________________________________B_0__123Graph_XGráfico" hidden="1">#REF!</definedName>
    <definedName name="_543________________________________________________123Graph_AGráfico_4A" hidden="1">#REF!</definedName>
    <definedName name="_544________________________________________________123Graph_BGráfico_4A" hidden="1">#REF!</definedName>
    <definedName name="_545________________________________________________123Graph_XGráfico_4A" hidden="1">#REF!</definedName>
    <definedName name="_546________________________________________________4_0__123Grap" hidden="1">#REF!</definedName>
    <definedName name="_55____________________123Graph_AGráfico_4A" hidden="1">#REF!</definedName>
    <definedName name="_55__123Graph_CCHART_8" hidden="1">#REF!</definedName>
    <definedName name="_55__123Graph_XCHART_3" hidden="1">#REF!</definedName>
    <definedName name="_55__123Graph_XCHART_4" hidden="1">#REF!</definedName>
    <definedName name="_551________________________________________________B_0__123Graph_XGráfico" hidden="1">#REF!</definedName>
    <definedName name="_554_______________________________________________123Graph_AGráfico_4A" hidden="1">#REF!</definedName>
    <definedName name="_555_______________________________________________123Graph_BGráfico_4A" hidden="1">#REF!</definedName>
    <definedName name="_556_______________________________________________123Graph_XGráfico_4A" hidden="1">#REF!</definedName>
    <definedName name="_557_______________________________________________4_0__123Grap" hidden="1">#REF!</definedName>
    <definedName name="_56____________________123Graph_BGráfico_4A" hidden="1">#REF!</definedName>
    <definedName name="_56__123Graph_BCHART_14" hidden="1">#REF!</definedName>
    <definedName name="_56__123Graph_CCHART_9" hidden="1">#REF!</definedName>
    <definedName name="_56__123Graph_XCHART_4" hidden="1">#REF!</definedName>
    <definedName name="_56__123Graph_XCHART_5" hidden="1">#REF!</definedName>
    <definedName name="_56_4____123Grap" hidden="1">#REF!</definedName>
    <definedName name="_562_______________________________________________B_0__123Graph_XGráfico" hidden="1">#REF!</definedName>
    <definedName name="_565______________________________________________123Graph_AGráfico_4A" hidden="1">#REF!</definedName>
    <definedName name="_566______________________________________________123Graph_BGráfico_4A" hidden="1">#REF!</definedName>
    <definedName name="_567______________________________________________123Graph_XGráfico_4A" hidden="1">#REF!</definedName>
    <definedName name="_568______________________________________________4_0__123Grap" hidden="1">#REF!</definedName>
    <definedName name="_57____________________123Graph_XGráfico_4A" hidden="1">#REF!</definedName>
    <definedName name="_57__123Graph_XCHART_10" hidden="1">#REF!</definedName>
    <definedName name="_57__123Graph_XCHART_5" hidden="1">#REF!</definedName>
    <definedName name="_57__123Graph_XCHART_8" hidden="1">#REF!</definedName>
    <definedName name="_57_7_0TBA">#REF!</definedName>
    <definedName name="_573______________________________________________B_0__123Graph_XGráfico" hidden="1">#REF!</definedName>
    <definedName name="_576_____________________________________________123Graph_AGráfico_4A" hidden="1">#REF!</definedName>
    <definedName name="_577_____________________________________________123Graph_BGráfico_4A" hidden="1">#REF!</definedName>
    <definedName name="_578_____________________________________________123Graph_XGráfico_4A" hidden="1">#REF!</definedName>
    <definedName name="_579_____________________________________________4_0__123Grap" hidden="1">#REF!</definedName>
    <definedName name="_58___________________123Graph_AGráfico_4A" hidden="1">#REF!</definedName>
    <definedName name="_58__123Graph_BCHART_15" hidden="1">#REF!</definedName>
    <definedName name="_58__123Graph_XCHART_11" hidden="1">#REF!</definedName>
    <definedName name="_58__123Graph_XCHART_8" hidden="1">#REF!</definedName>
    <definedName name="_58__123Graph_XCHART_9" hidden="1">#REF!</definedName>
    <definedName name="_58_7_0TBA">#REF!</definedName>
    <definedName name="_584_____________________________________________B_0__123Graph_XGráfico" hidden="1">#REF!</definedName>
    <definedName name="_587____________________________________________123Graph_AGráfico_4A" hidden="1">#REF!</definedName>
    <definedName name="_588____________________________________________123Graph_BGráfico_4A" hidden="1">#REF!</definedName>
    <definedName name="_589____________________________________________123Graph_XGráfico_4A" hidden="1">#REF!</definedName>
    <definedName name="_59___________________123Graph_BGráfico_4A" hidden="1">#REF!</definedName>
    <definedName name="_59__123Graph_XCHART_12" hidden="1">#REF!</definedName>
    <definedName name="_59__123Graph_XCHART_9" hidden="1">#REF!</definedName>
    <definedName name="_59_7__TBA">#REF!</definedName>
    <definedName name="_590____________________________________________4_0__123Grap" hidden="1">#REF!</definedName>
    <definedName name="_595____________________________________________B_0__123Graph_XGráfico" hidden="1">#REF!</definedName>
    <definedName name="_598___________________________________________123Graph_AGráfico_4A" hidden="1">#REF!</definedName>
    <definedName name="_599___________________________________________123Graph_BGráfico_4A" hidden="1">#REF!</definedName>
    <definedName name="_6____123Graph_XGráfico_4A" hidden="1">#REF!</definedName>
    <definedName name="_6___123Graph_AGráfico_4A" hidden="1">#REF!</definedName>
    <definedName name="_6___123Graph_BGráfico_4A" hidden="1">#REF!</definedName>
    <definedName name="_6___123Graph_XGráfico_4A" hidden="1">#REF!</definedName>
    <definedName name="_6__123Graph_ACHART_10" hidden="1">#REF!</definedName>
    <definedName name="_6__123Graph_ACHART_11" hidden="1">#REF!</definedName>
    <definedName name="_6__123Graph_ACHART_14" hidden="1">#REF!</definedName>
    <definedName name="_6__123Graph_AGráfico_4A" hidden="1">#REF!</definedName>
    <definedName name="_6__123Graph_BCHART_2" hidden="1">#REF!</definedName>
    <definedName name="_6__123Graph_BGráfico_4A" hidden="1">#REF!</definedName>
    <definedName name="_6__123Graph_XGráfico_4A" hidden="1">#REF!</definedName>
    <definedName name="_6_0_0_F" localSheetId="22" hidden="1">#REF!</definedName>
    <definedName name="_6_0_0_F" localSheetId="23" hidden="1">#REF!</definedName>
    <definedName name="_6_0_0_F" hidden="1">#REF!</definedName>
    <definedName name="_6_4____123Grap" hidden="1">#REF!</definedName>
    <definedName name="_60___________________123Graph_XGráfico_4A" hidden="1">#REF!</definedName>
    <definedName name="_60__123Graph_BCHART_16" hidden="1">#REF!</definedName>
    <definedName name="_60__123Graph_XCHART_13" hidden="1">#REF!</definedName>
    <definedName name="_600___________________________________________123Graph_XGráfico_4A" hidden="1">#REF!</definedName>
    <definedName name="_601___________________________________________4_0__123Grap" hidden="1">#REF!</definedName>
    <definedName name="_606___________________________________________B_0__123Graph_XGráfico" hidden="1">#REF!</definedName>
    <definedName name="_609__________________________________________123Graph_AGráfico_4A" hidden="1">#REF!</definedName>
    <definedName name="_61__________________123Graph_AGráfico_4A" hidden="1">#REF!</definedName>
    <definedName name="_61__123Graph_ACHART_11" hidden="1">#REF!</definedName>
    <definedName name="_61__123Graph_XCHART_14" hidden="1">#REF!</definedName>
    <definedName name="_610__________________________________________123Graph_BGráfico_4A" hidden="1">#REF!</definedName>
    <definedName name="_611__________________________________________123Graph_XGráfico_4A" hidden="1">#REF!</definedName>
    <definedName name="_612__________________________________________4_0__123Grap" hidden="1">#REF!</definedName>
    <definedName name="_617__________________________________________B_0__123Graph_XGráfico" hidden="1">#REF!</definedName>
    <definedName name="_62__________________123Graph_BGráfico_4A" hidden="1">#REF!</definedName>
    <definedName name="_62__123Graph_XCHART_15" hidden="1">#REF!</definedName>
    <definedName name="_620_________________________________________123Graph_AGráfico_4A" hidden="1">#REF!</definedName>
    <definedName name="_621_________________________________________123Graph_BGráfico_4A" hidden="1">#REF!</definedName>
    <definedName name="_622_________________________________________123Graph_XGráfico_4A" hidden="1">#REF!</definedName>
    <definedName name="_623_________________________________________4_0__123Grap" hidden="1">#REF!</definedName>
    <definedName name="_628_________________________________________B_0__123Graph_XGráfico" hidden="1">#REF!</definedName>
    <definedName name="_63__________________123Graph_XGráfico_4A" hidden="1">#REF!</definedName>
    <definedName name="_63__123Graph_XCHART_16" hidden="1">#REF!</definedName>
    <definedName name="_63_4_0__123Grap" hidden="1">#REF!</definedName>
    <definedName name="_631________________________________________123Graph_AGráfico_4A" hidden="1">#REF!</definedName>
    <definedName name="_632________________________________________123Graph_BGráfico_4A" hidden="1">#REF!</definedName>
    <definedName name="_633________________________________________123Graph_XGráfico_4A" hidden="1">#REF!</definedName>
    <definedName name="_634________________________________________4_0__123Grap" hidden="1">#REF!</definedName>
    <definedName name="_639________________________________________B_0__123Graph_XGráfico" hidden="1">#REF!</definedName>
    <definedName name="_64_________________123Graph_AGráfico_4A" hidden="1">#REF!</definedName>
    <definedName name="_64__123Graph_XCHART_2" hidden="1">#REF!</definedName>
    <definedName name="_642_______________________________________123Graph_AGráfico_4A" hidden="1">#REF!</definedName>
    <definedName name="_643_______________________________________123Graph_BGráfico_4A" hidden="1">#REF!</definedName>
    <definedName name="_644_______________________________________123Graph_XGráfico_4A" hidden="1">#REF!</definedName>
    <definedName name="_645_______________________________________4_0__123Grap" hidden="1">#REF!</definedName>
    <definedName name="_65_________________123Graph_BGráfico_4A" hidden="1">#REF!</definedName>
    <definedName name="_65__123Graph_XCHART_3" hidden="1">#REF!</definedName>
    <definedName name="_65_8_0TARO">#REF!</definedName>
    <definedName name="_650_______________________________________B_0__123Graph_XGráfico" hidden="1">#REF!</definedName>
    <definedName name="_653______________________________________123Graph_AGráfico_4A" hidden="1">#REF!</definedName>
    <definedName name="_654______________________________________123Graph_BGráfico_4A" hidden="1">#REF!</definedName>
    <definedName name="_655______________________________________123Graph_XGráfico_4A" hidden="1">#REF!</definedName>
    <definedName name="_656______________________________________4_0__123Grap" hidden="1">#REF!</definedName>
    <definedName name="_66_________________123Graph_XGráfico_4A" hidden="1">#REF!</definedName>
    <definedName name="_66__123Graph_XCHART_4" hidden="1">#REF!</definedName>
    <definedName name="_66_8_0TARO">#REF!</definedName>
    <definedName name="_661______________________________________B_0__123Graph_XGráfico" hidden="1">#REF!</definedName>
    <definedName name="_664_____________________________________123Graph_AGráfico_4A" hidden="1">#REF!</definedName>
    <definedName name="_665_____________________________________123Graph_BGráfico_4A" hidden="1">#REF!</definedName>
    <definedName name="_666_____________________________________123Graph_XGráfico_4A" hidden="1">#REF!</definedName>
    <definedName name="_667_____________________________________4_0__123Grap" hidden="1">#REF!</definedName>
    <definedName name="_67________________123Graph_AGráfico_4A" hidden="1">#REF!</definedName>
    <definedName name="_67__123Graph_XCHART_5" hidden="1">#REF!</definedName>
    <definedName name="_67_8__TARO">#REF!</definedName>
    <definedName name="_672_____________________________________B_0__123Graph_XGráfico" hidden="1">#REF!</definedName>
    <definedName name="_675____________________________________123Graph_AGráfico_4A" hidden="1">#REF!</definedName>
    <definedName name="_676____________________________________123Graph_BGráfico_4A" hidden="1">#REF!</definedName>
    <definedName name="_677____________________________________123Graph_XGráfico_4A" hidden="1">#REF!</definedName>
    <definedName name="_678____________________________________4_0__123Grap" hidden="1">#REF!</definedName>
    <definedName name="_68________________123Graph_BGráfico_4A" hidden="1">#REF!</definedName>
    <definedName name="_68__123Graph_XCHART_8" hidden="1">#REF!</definedName>
    <definedName name="_683____________________________________B_0__123Graph_XGráfico" hidden="1">#REF!</definedName>
    <definedName name="_686___________________________________123Graph_AGráfico_4A" hidden="1">#REF!</definedName>
    <definedName name="_687___________________________________123Graph_BGráfico_4A" hidden="1">#REF!</definedName>
    <definedName name="_688___________________________________123Graph_XGráfico_4A" hidden="1">#REF!</definedName>
    <definedName name="_689___________________________________4_0__123Grap" hidden="1">#REF!</definedName>
    <definedName name="_68B____123Graph_XGráfico" hidden="1">#REF!</definedName>
    <definedName name="_69________________123Graph_XGráfico_4A" hidden="1">#REF!</definedName>
    <definedName name="_69__123Graph_XCHART_9" hidden="1">#REF!</definedName>
    <definedName name="_694___________________________________B_0__123Graph_XGráfico" hidden="1">#REF!</definedName>
    <definedName name="_697__________________________________123Graph_AGráfico_4A" hidden="1">#REF!</definedName>
    <definedName name="_698__________________________________123Graph_BGráfico_4A" hidden="1">#REF!</definedName>
    <definedName name="_699__________________________________123Graph_XGráfico_4A" hidden="1">#REF!</definedName>
    <definedName name="_7___123Graph_XGráfico_4A" hidden="1">#REF!</definedName>
    <definedName name="_7__123Graph_ACHART_11" hidden="1">#REF!</definedName>
    <definedName name="_7__123Graph_ACHART_12" hidden="1">#REF!</definedName>
    <definedName name="_7__123Graph_ACHART_15" hidden="1">#REF!</definedName>
    <definedName name="_7__123Graph_ACHART_4" hidden="1">#REF!</definedName>
    <definedName name="_7__123Graph_BCHART_3" hidden="1">#REF!</definedName>
    <definedName name="_7__123Graph_XGráfico_4A" hidden="1">#REF!</definedName>
    <definedName name="_7__xl5" hidden="1">{"Actual Equipment",#N/A,FALSE,"BA D5"}</definedName>
    <definedName name="_7_0_0tempora">#REF!</definedName>
    <definedName name="_7_4_0__123Grap" hidden="1">#REF!</definedName>
    <definedName name="_70_______________123Graph_AGráfico_4A" hidden="1">#REF!</definedName>
    <definedName name="_70__123Graph_ACHART_12" hidden="1">#REF!</definedName>
    <definedName name="_700__________________________________4_0__123Grap" hidden="1">#REF!</definedName>
    <definedName name="_705__________________________________B_0__123Graph_XGráfico" hidden="1">#REF!</definedName>
    <definedName name="_708_________________________________123Graph_AGráfico_4A" hidden="1">#REF!</definedName>
    <definedName name="_709_________________________________123Graph_BGráfico_4A" hidden="1">#REF!</definedName>
    <definedName name="_71_______________123Graph_BGráfico_4A" hidden="1">#REF!</definedName>
    <definedName name="_710_________________________________123Graph_XGráfico_4A" hidden="1">#REF!</definedName>
    <definedName name="_711_________________________________4_0__123Grap" hidden="1">#REF!</definedName>
    <definedName name="_716_________________________________B_0__123Graph_XGráfico" hidden="1">#REF!</definedName>
    <definedName name="_719________________________________123Graph_AGráfico_4A" hidden="1">#REF!</definedName>
    <definedName name="_72_______________123Graph_XGráfico_4A" hidden="1">#REF!</definedName>
    <definedName name="_720________________________________123Graph_BGráfico_4A" hidden="1">#REF!</definedName>
    <definedName name="_721________________________________123Graph_XGráfico_4A" hidden="1">#REF!</definedName>
    <definedName name="_722________________________________4_0__123Grap" hidden="1">#REF!</definedName>
    <definedName name="_727________________________________B_0__123Graph_XGráfico" hidden="1">#REF!</definedName>
    <definedName name="_730_______________________________123Graph_AGráfico_4A" hidden="1">#REF!</definedName>
    <definedName name="_731_______________________________123Graph_BGráfico_4A" hidden="1">#REF!</definedName>
    <definedName name="_732_______________________________123Graph_XGráfico_4A" hidden="1">#REF!</definedName>
    <definedName name="_733_______________________________4_0__123Grap" hidden="1">#REF!</definedName>
    <definedName name="_738_______________________________B_0__123Graph_XGráfico" hidden="1">#REF!</definedName>
    <definedName name="_74______________123Graph_AGráfico_4A" hidden="1">#REF!</definedName>
    <definedName name="_74__123Graph_BCHART_7" hidden="1">#REF!</definedName>
    <definedName name="_741______________________________123Graph_AGráfico_4A" hidden="1">#REF!</definedName>
    <definedName name="_742______________________________123Graph_BGráfico_4A" hidden="1">#REF!</definedName>
    <definedName name="_743______________________________123Graph_XGráfico_4A" hidden="1">#REF!</definedName>
    <definedName name="_744______________________________4_0__123Grap" hidden="1">#REF!</definedName>
    <definedName name="_749______________________________B_0__123Graph_XGráfico" hidden="1">#REF!</definedName>
    <definedName name="_74B_0__123Graph_XGráfico" hidden="1">#REF!</definedName>
    <definedName name="_75______________123Graph_BGráfico_4A" hidden="1">#REF!</definedName>
    <definedName name="_752_____________________________4_0__123Grap" hidden="1">#REF!</definedName>
    <definedName name="_757_____________________________B_0__123Graph_XGráfico" hidden="1">#REF!</definedName>
    <definedName name="_75B_0__123Graph_XGráfico" hidden="1">#REF!</definedName>
    <definedName name="_76______________123Graph_XGráfico_4A" hidden="1">#REF!</definedName>
    <definedName name="_76__123Graph_BCHART_8" hidden="1">#REF!</definedName>
    <definedName name="_760____________________________4_0__123Grap" hidden="1">#REF!</definedName>
    <definedName name="_765____________________________B_0__123Graph_XGráfico" hidden="1">#REF!</definedName>
    <definedName name="_768___________________________4_0__123Grap" hidden="1">#REF!</definedName>
    <definedName name="_76tempora">#REF!</definedName>
    <definedName name="_77______________4_0__123Grap" hidden="1">#REF!</definedName>
    <definedName name="_773___________________________B_0__123Graph_XGráfico" hidden="1">#REF!</definedName>
    <definedName name="_776__________________________4_0__123Grap" hidden="1">#REF!</definedName>
    <definedName name="_78__123Graph_BCHART_9" hidden="1">#REF!</definedName>
    <definedName name="_781__________________________B_0__123Graph_XGráfico" hidden="1">#REF!</definedName>
    <definedName name="_784_________________________4_0__123Grap" hidden="1">#REF!</definedName>
    <definedName name="_789_________________________B_0__123Graph_XGráfico" hidden="1">#REF!</definedName>
    <definedName name="_79__123Graph_ACHART_13" hidden="1">#REF!</definedName>
    <definedName name="_792________________________4_0__123Grap" hidden="1">#REF!</definedName>
    <definedName name="_797________________________B_0__123Graph_XGráfico" hidden="1">#REF!</definedName>
    <definedName name="_8___123Graph_BGráfico_4A" localSheetId="22" hidden="1">#REF!</definedName>
    <definedName name="_8___123Graph_BGráfico_4A" localSheetId="23" hidden="1">#REF!</definedName>
    <definedName name="_8___123Graph_BGráfico_4A" hidden="1">#REF!</definedName>
    <definedName name="_8__123Graph_ACHART_12" hidden="1">#REF!</definedName>
    <definedName name="_8__123Graph_ACHART_13" hidden="1">#REF!</definedName>
    <definedName name="_8__123Graph_ACHART_16" hidden="1">#REF!</definedName>
    <definedName name="_8__123Graph_BCHART_4" hidden="1">#REF!</definedName>
    <definedName name="_8__123Graph_BGráfico_4A" hidden="1">#REF!</definedName>
    <definedName name="_8__4____123Grap" hidden="1">#REF!</definedName>
    <definedName name="_8_4____123Grap" hidden="1">#REF!</definedName>
    <definedName name="_8_4_0__123Grap" hidden="1">#REF!</definedName>
    <definedName name="_800_______________________4_0__123Grap" hidden="1">#REF!</definedName>
    <definedName name="_805_______________________B_0__123Graph_XGráfico" hidden="1">#REF!</definedName>
    <definedName name="_808______________________4_0__123Grap" hidden="1">#REF!</definedName>
    <definedName name="_813______________________B_0__123Graph_XGráfico" hidden="1">#REF!</definedName>
    <definedName name="_816_____________________4_0__123Grap" hidden="1">#REF!</definedName>
    <definedName name="_82______________B_0__123Graph_XGráfico" hidden="1">#REF!</definedName>
    <definedName name="_821_____________________B_0__123Graph_XGráfico" hidden="1">#REF!</definedName>
    <definedName name="_824____________________4_0__123Grap" hidden="1">#REF!</definedName>
    <definedName name="_829____________________B_0__123Graph_XGráfico" hidden="1">#REF!</definedName>
    <definedName name="_82ÿ_0TAB">#REF!</definedName>
    <definedName name="_83__123Graph_CCHART_10" hidden="1">#REF!</definedName>
    <definedName name="_832___________________4_0__123Grap" hidden="1">#REF!</definedName>
    <definedName name="_837___________________B_0__123Graph_XGráfico" hidden="1">#REF!</definedName>
    <definedName name="_83ÿ_0TAB">#REF!</definedName>
    <definedName name="_84_B_0__123Graph_XGráfico" hidden="1">#REF!</definedName>
    <definedName name="_840__________________4_0__123Grap" hidden="1">#REF!</definedName>
    <definedName name="_845__________________B_0__123Graph_XGráfico" hidden="1">#REF!</definedName>
    <definedName name="_848_________________4_0__123Grap" hidden="1">#REF!</definedName>
    <definedName name="_84ÿ__TAB">#REF!</definedName>
    <definedName name="_85_____________4_0__123Grap" hidden="1">#REF!</definedName>
    <definedName name="_85__123Graph_CCHART_11" hidden="1">#REF!</definedName>
    <definedName name="_853_________________B_0__123Graph_XGráfico" hidden="1">#REF!</definedName>
    <definedName name="_856________________4_0__123Grap" hidden="1">#REF!</definedName>
    <definedName name="_861________________B_0__123Graph_XGráfico" hidden="1">#REF!</definedName>
    <definedName name="_864_______________4_0__123Grap" hidden="1">#REF!</definedName>
    <definedName name="_869_______________B_0__123Graph_XGráfico" hidden="1">#REF!</definedName>
    <definedName name="_87__123Graph_CCHART_12" hidden="1">#REF!</definedName>
    <definedName name="_88__123Graph_ACHART_14" hidden="1">#REF!</definedName>
    <definedName name="_89__123Graph_CCHART_13" hidden="1">#REF!</definedName>
    <definedName name="_9___123Graph_AGráfico_4A" hidden="1">#REF!</definedName>
    <definedName name="_9__123Graph_ACHART_13" hidden="1">#REF!</definedName>
    <definedName name="_9__123Graph_ACHART_14" hidden="1">#REF!</definedName>
    <definedName name="_9__123Graph_ACHART_5" hidden="1">#REF!</definedName>
    <definedName name="_9__123Graph_BCHART_5" hidden="1">#REF!</definedName>
    <definedName name="_9__4_0__123Grap" hidden="1">#REF!</definedName>
    <definedName name="_9_0_0_F" hidden="1">#REF!</definedName>
    <definedName name="_9_0T">#REF!</definedName>
    <definedName name="_9_4_0__123Grap" hidden="1">#REF!</definedName>
    <definedName name="_90_____________B_0__123Graph_XGráfico" hidden="1">#REF!</definedName>
    <definedName name="_91__123Graph_CCHART_14" hidden="1">#REF!</definedName>
    <definedName name="_93____________4_0__123Grap" hidden="1">#REF!</definedName>
    <definedName name="_93__123Graph_CCHART_15" hidden="1">#REF!</definedName>
    <definedName name="_95__123Graph_CCHART_16" hidden="1">#REF!</definedName>
    <definedName name="_97__123Graph_ACHART_15" hidden="1">#REF!</definedName>
    <definedName name="_97__123Graph_CCHART_7" hidden="1">#REF!</definedName>
    <definedName name="_98____________B_0__123Graph_XGráfico" hidden="1">#REF!</definedName>
    <definedName name="_99__123Graph_CCHART_8" hidden="1">#REF!</definedName>
    <definedName name="_a1" localSheetId="4">'C.C. '!_a1</definedName>
    <definedName name="_a1" localSheetId="19">'Demanda Trafo A'!_a1</definedName>
    <definedName name="_a1" localSheetId="22">factores!_a1</definedName>
    <definedName name="_a1" localSheetId="16">'H1-CUADRO DE CARGAS'!_a1</definedName>
    <definedName name="_a1" localSheetId="3">'PORTADA '!_a1</definedName>
    <definedName name="_a1" localSheetId="23">'Tablas Cables'!_a1</definedName>
    <definedName name="_a1">[0]!_a1</definedName>
    <definedName name="_A2" hidden="1">{#N/A,#N/A,FALSE,"Costos Productos 6A";#N/A,#N/A,FALSE,"Costo Unitario Total H-94-12"}</definedName>
    <definedName name="_AAS1" localSheetId="19" hidden="1">{#N/A,#N/A,TRUE,"INGENIERIA";#N/A,#N/A,TRUE,"COMPRAS";#N/A,#N/A,TRUE,"DIRECCION";#N/A,#N/A,TRUE,"RESUMEN"}</definedName>
    <definedName name="_AAS1" localSheetId="22" hidden="1">{#N/A,#N/A,TRUE,"INGENIERIA";#N/A,#N/A,TRUE,"COMPRAS";#N/A,#N/A,TRUE,"DIRECCION";#N/A,#N/A,TRUE,"RESUMEN"}</definedName>
    <definedName name="_AAS1" localSheetId="16" hidden="1">{#N/A,#N/A,TRUE,"INGENIERIA";#N/A,#N/A,TRUE,"COMPRAS";#N/A,#N/A,TRUE,"DIRECCION";#N/A,#N/A,TRUE,"RESUMEN"}</definedName>
    <definedName name="_AAS1" localSheetId="23" hidden="1">{#N/A,#N/A,TRUE,"INGENIERIA";#N/A,#N/A,TRUE,"COMPRAS";#N/A,#N/A,TRUE,"DIRECCION";#N/A,#N/A,TRUE,"RESUMEN"}</definedName>
    <definedName name="_AAS1" hidden="1">{#N/A,#N/A,TRUE,"INGENIERIA";#N/A,#N/A,TRUE,"COMPRAS";#N/A,#N/A,TRUE,"DIRECCION";#N/A,#N/A,TRUE,"RESUMEN"}</definedName>
    <definedName name="_ABC1" localSheetId="19" hidden="1">{#N/A,#N/A,TRUE,"1842CWN0"}</definedName>
    <definedName name="_ABC1" localSheetId="22" hidden="1">{#N/A,#N/A,TRUE,"1842CWN0"}</definedName>
    <definedName name="_ABC1" localSheetId="16" hidden="1">{#N/A,#N/A,TRUE,"1842CWN0"}</definedName>
    <definedName name="_ABC1" localSheetId="23" hidden="1">{#N/A,#N/A,TRUE,"1842CWN0"}</definedName>
    <definedName name="_ABC1" hidden="1">{#N/A,#N/A,TRUE,"1842CWN0"}</definedName>
    <definedName name="_abc2" localSheetId="19" hidden="1">{#N/A,#N/A,TRUE,"1842CWN0"}</definedName>
    <definedName name="_abc2" localSheetId="22" hidden="1">{#N/A,#N/A,TRUE,"1842CWN0"}</definedName>
    <definedName name="_abc2" localSheetId="16" hidden="1">{#N/A,#N/A,TRUE,"1842CWN0"}</definedName>
    <definedName name="_abc2" localSheetId="23" hidden="1">{#N/A,#N/A,TRUE,"1842CWN0"}</definedName>
    <definedName name="_abc2" hidden="1">{#N/A,#N/A,TRUE,"1842CWN0"}</definedName>
    <definedName name="_AFC1">#REF!</definedName>
    <definedName name="_AFC3">#REF!</definedName>
    <definedName name="_AFC5">#REF!</definedName>
    <definedName name="_ane7">#REF!</definedName>
    <definedName name="_ane8">#REF!</definedName>
    <definedName name="_API93">#REF!</definedName>
    <definedName name="_API98">#REF!</definedName>
    <definedName name="_Atp2">#REF!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-1</definedName>
    <definedName name="_AtRisk_SimSetting_MultipleCPUManualCount" hidden="1">4</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GC1">#REF!</definedName>
    <definedName name="_BGC3">#REF!</definedName>
    <definedName name="_BGC5">#REF!</definedName>
    <definedName name="_CAC1">#REF!</definedName>
    <definedName name="_CAC3">#REF!</definedName>
    <definedName name="_CAC5">#REF!</definedName>
    <definedName name="_COM1">#REF!</definedName>
    <definedName name="_COM10">#REF!</definedName>
    <definedName name="_COM11">#REF!</definedName>
    <definedName name="_COM12">#REF!</definedName>
    <definedName name="_COM13">#REF!</definedName>
    <definedName name="_COM14">#REF!</definedName>
    <definedName name="_COM15">#REF!</definedName>
    <definedName name="_COM16">#REF!</definedName>
    <definedName name="_COM17">#REF!</definedName>
    <definedName name="_COM18">#REF!</definedName>
    <definedName name="_COM19">#REF!</definedName>
    <definedName name="_COM2">#REF!</definedName>
    <definedName name="_COM20">#REF!</definedName>
    <definedName name="_COM21">#REF!</definedName>
    <definedName name="_COM3">#REF!</definedName>
    <definedName name="_COM4">#REF!</definedName>
    <definedName name="_COM5">#REF!</definedName>
    <definedName name="_COM6">#REF!</definedName>
    <definedName name="_COM7">#REF!</definedName>
    <definedName name="_COM8">#REF!</definedName>
    <definedName name="_COM9">#REF!</definedName>
    <definedName name="_DCI1">#REF!</definedName>
    <definedName name="_DDS1">#REF!</definedName>
    <definedName name="_DGO1">#REF!</definedName>
    <definedName name="_DGP1">#REF!</definedName>
    <definedName name="_DIJ1">#REF!</definedName>
    <definedName name="_Dist_Bin" localSheetId="22" hidden="1">#REF!</definedName>
    <definedName name="_Dist_Bin" hidden="1">#REF!</definedName>
    <definedName name="_DPI1">#REF!</definedName>
    <definedName name="_DPY1">#REF!</definedName>
    <definedName name="_DRI1">#REF!</definedName>
    <definedName name="_DRL1">#REF!</definedName>
    <definedName name="_DSP1">#REF!</definedName>
    <definedName name="_ECP1">#REF!</definedName>
    <definedName name="_F" hidden="1">{"krl1",#N/A,FALSE,"kr";"krl2",#N/A,FALSE,"kr";"compara",#N/A,FALSE,"kr";"desconp1",#N/A,FALSE,"kr";"desconp12",#N/A,FALSE,"kr";"krnp1",#N/A,FALSE,"kr";"krnp2",#N/A,FALSE,"kr";"krp12avg",#N/A,FALSE,"kr";"krp1avg",#N/A,FALSE,"kr"}</definedName>
    <definedName name="_Fill" localSheetId="22" hidden="1">#REF!</definedName>
    <definedName name="_Fill" hidden="1">#REF!</definedName>
    <definedName name="_xlnm._FilterDatabase" localSheetId="14" hidden="1">'PÉRDIDAS ECONO Cu'!$B$9:$X$33</definedName>
    <definedName name="_xlnm._FilterDatabase" hidden="1">#REF!</definedName>
    <definedName name="_hhg1" localSheetId="19" hidden="1">{#N/A,#N/A,TRUE,"1842CWN0"}</definedName>
    <definedName name="_hhg1" localSheetId="22" hidden="1">{#N/A,#N/A,TRUE,"1842CWN0"}</definedName>
    <definedName name="_hhg1" localSheetId="16" hidden="1">{#N/A,#N/A,TRUE,"1842CWN0"}</definedName>
    <definedName name="_hhg1" localSheetId="23" hidden="1">{#N/A,#N/A,TRUE,"1842CWN0"}</definedName>
    <definedName name="_hhg1" hidden="1">{#N/A,#N/A,TRUE,"1842CWN0"}</definedName>
    <definedName name="_ICP1">#REF!</definedName>
    <definedName name="_Inversiones20101" hidden="1">#REF!</definedName>
    <definedName name="_Key1" localSheetId="19" hidden="1">#REF!</definedName>
    <definedName name="_Key1" localSheetId="22" hidden="1">#REF!</definedName>
    <definedName name="_Key1" localSheetId="16" hidden="1">#REF!</definedName>
    <definedName name="_Key1" localSheetId="11" hidden="1">#REF!</definedName>
    <definedName name="_Key1" localSheetId="13" hidden="1">#REF!</definedName>
    <definedName name="_Key1" localSheetId="14" hidden="1">#REF!</definedName>
    <definedName name="_Key1" localSheetId="15" hidden="1">#REF!</definedName>
    <definedName name="_Key1" localSheetId="23" hidden="1">#REF!</definedName>
    <definedName name="_Key1" hidden="1">#REF!</definedName>
    <definedName name="_Key2" localSheetId="19" hidden="1">#REF!</definedName>
    <definedName name="_Key2" localSheetId="22" hidden="1">#REF!</definedName>
    <definedName name="_Key2" localSheetId="16" hidden="1">#REF!</definedName>
    <definedName name="_Key2" localSheetId="11" hidden="1">#REF!</definedName>
    <definedName name="_Key2" localSheetId="13" hidden="1">#REF!</definedName>
    <definedName name="_Key2" localSheetId="14" hidden="1">#REF!</definedName>
    <definedName name="_Key2" localSheetId="15" hidden="1">#REF!</definedName>
    <definedName name="_Key2" localSheetId="23" hidden="1">#REF!</definedName>
    <definedName name="_Key2" hidden="1">#REF!</definedName>
    <definedName name="_LEY80">#REF!</definedName>
    <definedName name="_NDI2">#REF!</definedName>
    <definedName name="_NDI3">#REF!</definedName>
    <definedName name="_NDI4">#REF!</definedName>
    <definedName name="_New1" hidden="1">{#N/A,#N/A,FALSE,"QsumREG";#N/A,#N/A,FALSE,"Reg";#N/A,#N/A,FALSE,"QsumPSL";#N/A,#N/A,FALSE,"PSL";#N/A,#N/A,FALSE,"fcstsum";#N/A,#N/A,FALSE,"cntsprt"}</definedName>
    <definedName name="_new10" hidden="1">{#N/A,#N/A,FALSE,"SMT1";#N/A,#N/A,FALSE,"SMT2";#N/A,#N/A,FALSE,"Summary";#N/A,#N/A,FALSE,"Graphs";#N/A,#N/A,FALSE,"4 Panel"}</definedName>
    <definedName name="_NEW4" hidden="1">{#N/A,#N/A,FALSE,"Full";#N/A,#N/A,FALSE,"Half";#N/A,#N/A,FALSE,"Op Expenses";#N/A,#N/A,FALSE,"Cap Charge";#N/A,#N/A,FALSE,"Cost C";#N/A,#N/A,FALSE,"PP&amp;E";#N/A,#N/A,FALSE,"R&amp;D"}</definedName>
    <definedName name="_no1" hidden="1">{#N/A,#N/A,FALSE,"SMT1";#N/A,#N/A,FALSE,"SMT2";#N/A,#N/A,FALSE,"Summary";#N/A,#N/A,FALSE,"Graphs";#N/A,#N/A,FALSE,"4 Panel"}</definedName>
    <definedName name="_no10" hidden="1">{#N/A,#N/A,FALSE,"SMT1";#N/A,#N/A,FALSE,"SMT2";#N/A,#N/A,FALSE,"Summary";#N/A,#N/A,FALSE,"Graphs";#N/A,#N/A,FALSE,"4 Panel"}</definedName>
    <definedName name="_no11" hidden="1">{#N/A,#N/A,FALSE,"Full";#N/A,#N/A,FALSE,"Half";#N/A,#N/A,FALSE,"Op Expenses";#N/A,#N/A,FALSE,"Cap Charge";#N/A,#N/A,FALSE,"Cost C";#N/A,#N/A,FALSE,"PP&amp;E";#N/A,#N/A,FALSE,"R&amp;D"}</definedName>
    <definedName name="_no12" hidden="1">{#N/A,#N/A,FALSE,"SMT1";#N/A,#N/A,FALSE,"SMT2";#N/A,#N/A,FALSE,"Summary";#N/A,#N/A,FALSE,"Graphs";#N/A,#N/A,FALSE,"4 Panel"}</definedName>
    <definedName name="_no13" hidden="1">{"EVA",#N/A,FALSE,"SMT2";#N/A,#N/A,FALSE,"Summary";#N/A,#N/A,FALSE,"Graphs";#N/A,#N/A,FALSE,"4 Panel"}</definedName>
    <definedName name="_no14" hidden="1">{#N/A,#N/A,FALSE,"Full";#N/A,#N/A,FALSE,"Half";#N/A,#N/A,FALSE,"Op Expenses";#N/A,#N/A,FALSE,"Cap Charge";#N/A,#N/A,FALSE,"Cost C";#N/A,#N/A,FALSE,"PP&amp;E";#N/A,#N/A,FALSE,"R&amp;D"}</definedName>
    <definedName name="_no2" hidden="1">{"EVA",#N/A,FALSE,"SMT2";#N/A,#N/A,FALSE,"Summary";#N/A,#N/A,FALSE,"Graphs";#N/A,#N/A,FALSE,"4 Panel"}</definedName>
    <definedName name="_no3" hidden="1">{#N/A,#N/A,FALSE,"SMT1";#N/A,#N/A,FALSE,"SMT2";#N/A,#N/A,FALSE,"Summary";#N/A,#N/A,FALSE,"Graphs";#N/A,#N/A,FALSE,"4 Panel"}</definedName>
    <definedName name="_no4" hidden="1">{#N/A,#N/A,FALSE,"SMT1";#N/A,#N/A,FALSE,"SMT2";#N/A,#N/A,FALSE,"Summary";#N/A,#N/A,FALSE,"Graphs";#N/A,#N/A,FALSE,"4 Panel"}</definedName>
    <definedName name="_no5" hidden="1">{#N/A,#N/A,FALSE,"Full";#N/A,#N/A,FALSE,"Half";#N/A,#N/A,FALSE,"Op Expenses";#N/A,#N/A,FALSE,"Cap Charge";#N/A,#N/A,FALSE,"Cost C";#N/A,#N/A,FALSE,"PP&amp;E";#N/A,#N/A,FALSE,"R&amp;D"}</definedName>
    <definedName name="_no6" hidden="1">{"EVA",#N/A,FALSE,"SMT2";#N/A,#N/A,FALSE,"Summary";#N/A,#N/A,FALSE,"Graphs";#N/A,#N/A,FALSE,"4 Panel"}</definedName>
    <definedName name="_no7" hidden="1">{"EVA",#N/A,FALSE,"SMT2";#N/A,#N/A,FALSE,"Summary";#N/A,#N/A,FALSE,"Graphs";#N/A,#N/A,FALSE,"4 Panel"}</definedName>
    <definedName name="_no8" hidden="1">{"EVA",#N/A,FALSE,"SMT2";#N/A,#N/A,FALSE,"Summary";#N/A,#N/A,FALSE,"Graphs";#N/A,#N/A,FALSE,"4 Panel"}</definedName>
    <definedName name="_no9" hidden="1">{"EVA",#N/A,FALSE,"SMT2";#N/A,#N/A,FALSE,"Summary";#N/A,#N/A,FALSE,"Graphs";#N/A,#N/A,FALSE,"4 Panel"}</definedName>
    <definedName name="_OCD1">#REF!</definedName>
    <definedName name="_OCI1">#REF!</definedName>
    <definedName name="_Order1" localSheetId="19" hidden="1">255</definedName>
    <definedName name="_Order1" localSheetId="22" hidden="1">255</definedName>
    <definedName name="_Order1" localSheetId="16" hidden="1">255</definedName>
    <definedName name="_Order1" localSheetId="23" hidden="1">255</definedName>
    <definedName name="_Order1" hidden="1">0</definedName>
    <definedName name="_Order2" localSheetId="19" hidden="1">255</definedName>
    <definedName name="_Order2" localSheetId="22" hidden="1">255</definedName>
    <definedName name="_Order2" localSheetId="16" hidden="1">255</definedName>
    <definedName name="_Order2" localSheetId="23" hidden="1">255</definedName>
    <definedName name="_Order2" hidden="1">1</definedName>
    <definedName name="_Parse_In" hidden="1">#REF!</definedName>
    <definedName name="_Parse_Out" localSheetId="22" hidden="1">#REF!</definedName>
    <definedName name="_Parse_Out" localSheetId="23" hidden="1">#REF!</definedName>
    <definedName name="_Parse_Out" hidden="1">#REF!</definedName>
    <definedName name="_PW2">#REF!</definedName>
    <definedName name="_QA1" hidden="1">#REF!</definedName>
    <definedName name="_r" hidden="1">{#N/A,#N/A,FALSE,"Full";#N/A,#N/A,FALSE,"Half";#N/A,#N/A,FALSE,"Op Expenses";#N/A,#N/A,FALSE,"Cap Charge";#N/A,#N/A,FALSE,"Cost C";#N/A,#N/A,FALSE,"PP&amp;E";#N/A,#N/A,FALSE,"R&amp;D"}</definedName>
    <definedName name="_R1AADDV">#REF!</definedName>
    <definedName name="_R1ALC">#REF!</definedName>
    <definedName name="_R1CCS">#REF!</definedName>
    <definedName name="_R1DDVC">#REF!</definedName>
    <definedName name="_R1EMPRA">#REF!</definedName>
    <definedName name="_R1GAV">#REF!</definedName>
    <definedName name="_R2AADDV">#REF!</definedName>
    <definedName name="_R2ALC">#REF!</definedName>
    <definedName name="_R2BEZ">#REF!</definedName>
    <definedName name="_R2CCS">#REF!</definedName>
    <definedName name="_R2CCT1">#REF!</definedName>
    <definedName name="_R2CCT2">#REF!</definedName>
    <definedName name="_R2CET">#REF!</definedName>
    <definedName name="_R2CPVE">#REF!</definedName>
    <definedName name="_R2CVS">#REF!</definedName>
    <definedName name="_R2DDVC">#REF!</definedName>
    <definedName name="_R2DE">#REF!</definedName>
    <definedName name="_R2DPP">#REF!</definedName>
    <definedName name="_R2EMPRA">#REF!</definedName>
    <definedName name="_R2GAV">#REF!</definedName>
    <definedName name="_R2LDT">#REF!</definedName>
    <definedName name="_R2TL">#REF!</definedName>
    <definedName name="_R2ZC">#REF!</definedName>
    <definedName name="_R2ZCPP">#REF!</definedName>
    <definedName name="_R3AADDV">#REF!</definedName>
    <definedName name="_R3ALC">#REF!</definedName>
    <definedName name="_R3BEZ">#REF!</definedName>
    <definedName name="_R3CCS">#REF!</definedName>
    <definedName name="_R3CCT1">#REF!</definedName>
    <definedName name="_R3CCT2">#REF!</definedName>
    <definedName name="_R3CET">#REF!</definedName>
    <definedName name="_R3CPVE">#REF!</definedName>
    <definedName name="_R3CVS">#REF!</definedName>
    <definedName name="_R3DDVC">#REF!</definedName>
    <definedName name="_R3DE">#REF!</definedName>
    <definedName name="_R3DPP">#REF!</definedName>
    <definedName name="_R3EMPRA">#REF!</definedName>
    <definedName name="_R3GAV">#REF!</definedName>
    <definedName name="_R3LDT">#REF!</definedName>
    <definedName name="_R3TL">#REF!</definedName>
    <definedName name="_R3ZC">#REF!</definedName>
    <definedName name="_R3ZCPP">#REF!</definedName>
    <definedName name="_Regression_Int" hidden="1">1</definedName>
    <definedName name="_Regression_Out" localSheetId="22" hidden="1">#REF!</definedName>
    <definedName name="_Regression_Out" localSheetId="23" hidden="1">#REF!</definedName>
    <definedName name="_Regression_Out" hidden="1">#REF!</definedName>
    <definedName name="_Regression_X" localSheetId="5" hidden="1">#REF!</definedName>
    <definedName name="_Regression_X" localSheetId="19" hidden="1">#REF!</definedName>
    <definedName name="_Regression_X" localSheetId="22" hidden="1">#REF!</definedName>
    <definedName name="_Regression_X" localSheetId="16" hidden="1">#REF!</definedName>
    <definedName name="_Regression_X" localSheetId="11" hidden="1">#REF!</definedName>
    <definedName name="_Regression_X" localSheetId="13" hidden="1">#REF!</definedName>
    <definedName name="_Regression_X" localSheetId="14" hidden="1">#REF!</definedName>
    <definedName name="_Regression_X" localSheetId="15" hidden="1">#REF!</definedName>
    <definedName name="_Regression_X" localSheetId="23" hidden="1">#REF!</definedName>
    <definedName name="_Regression_X" localSheetId="1" hidden="1">#REF!</definedName>
    <definedName name="_Regression_X" hidden="1">#REF!</definedName>
    <definedName name="_Regression_Y" localSheetId="22" hidden="1">#REF!</definedName>
    <definedName name="_Regression_Y" hidden="1">#REF!</definedName>
    <definedName name="_SBC1">#REF!</definedName>
    <definedName name="_SBC3">#REF!</definedName>
    <definedName name="_SBC5">#REF!</definedName>
    <definedName name="_Sort" localSheetId="5" hidden="1">#REF!</definedName>
    <definedName name="_Sort" localSheetId="19" hidden="1">#REF!</definedName>
    <definedName name="_Sort" localSheetId="22" hidden="1">#REF!</definedName>
    <definedName name="_Sort" localSheetId="16" hidden="1">#REF!</definedName>
    <definedName name="_Sort" localSheetId="11" hidden="1">#REF!</definedName>
    <definedName name="_Sort" localSheetId="13" hidden="1">#REF!</definedName>
    <definedName name="_Sort" localSheetId="14" hidden="1">#REF!</definedName>
    <definedName name="_Sort" localSheetId="15" hidden="1">#REF!</definedName>
    <definedName name="_Sort" localSheetId="23" hidden="1">#REF!</definedName>
    <definedName name="_Sort" localSheetId="1" hidden="1">#REF!</definedName>
    <definedName name="_Sort" hidden="1">#REF!</definedName>
    <definedName name="_Sort1" hidden="1">#REF!</definedName>
    <definedName name="_Table1_In1" hidden="1">#REF!</definedName>
    <definedName name="_Table1_Out" localSheetId="22" hidden="1">#REF!</definedName>
    <definedName name="_Table1_Out" localSheetId="23" hidden="1">#REF!</definedName>
    <definedName name="_Table1_Out" hidden="1">#REF!</definedName>
    <definedName name="_Table2_In1" hidden="1">#REF!</definedName>
    <definedName name="_Table2_In2" hidden="1">#REF!</definedName>
    <definedName name="_Table2_Out" localSheetId="22" hidden="1">#REF!</definedName>
    <definedName name="_Table2_Out" localSheetId="23" hidden="1">#REF!</definedName>
    <definedName name="_Table2_Out" hidden="1">#REF!</definedName>
    <definedName name="_tc1">#REF!</definedName>
    <definedName name="_tc2">#REF!</definedName>
    <definedName name="_tc3">#REF!</definedName>
    <definedName name="_TOP1">#REF!</definedName>
    <definedName name="_TOP10">#REF!</definedName>
    <definedName name="_TOP2">#REF!</definedName>
    <definedName name="_TOP3">#REF!</definedName>
    <definedName name="_TOP4">#REF!</definedName>
    <definedName name="_TOP5">#REF!</definedName>
    <definedName name="_TOP6">#REF!</definedName>
    <definedName name="_TOP7">#REF!</definedName>
    <definedName name="_TOP8">#REF!</definedName>
    <definedName name="_TOP9">#REF!</definedName>
    <definedName name="_VEX1" localSheetId="4">#REF!</definedName>
    <definedName name="_VEX1" localSheetId="3">#REF!</definedName>
    <definedName name="_VEX1" hidden="1">{#N/A,#N/A,FALSE,"Costos Contables CIB A 12 1994";#N/A,#N/A,FALSE,"Cuadre Contab. y C. OP"}</definedName>
    <definedName name="_VFA1">#REF!</definedName>
    <definedName name="_VIT1">#REF!</definedName>
    <definedName name="_VPR1">#REF!</definedName>
    <definedName name="_VPR2">#REF!</definedName>
    <definedName name="_VRP1">#REF!</definedName>
    <definedName name="_VSM1">#REF!</definedName>
    <definedName name="_XC30" hidden="1">{"Actual Equipment",#N/A,FALSE,"BA D5"}</definedName>
    <definedName name="_XDI2">#REF!</definedName>
    <definedName name="_XDI3">#REF!</definedName>
    <definedName name="_XDI4">#REF!</definedName>
    <definedName name="_xl5" hidden="1">{"Actual Equipment",#N/A,FALSE,"BA D5"}</definedName>
    <definedName name="_xlcn.WorksheetConnection_Hoja2AE1" hidden="1">#REF!</definedName>
    <definedName name="_xlcn.WorksheetConnection_Hoja3AE1" hidden="1">#REF!</definedName>
    <definedName name="_xlcn.WorksheetConnection_Hoja3AE11" hidden="1">#REF!</definedName>
    <definedName name="_xlcn.WorksheetConnection_Hoja5AE1" hidden="1">#REF!</definedName>
    <definedName name="_xlcn.WorksheetConnection_OPERAI1" hidden="1">#REF!</definedName>
    <definedName name="_xlcn.WorksheetConnection_PACIFICAI1" hidden="1">#REF!</definedName>
    <definedName name="_xlcn.WorksheetConnection_PACIFICAI11" hidden="1">#REF!</definedName>
    <definedName name="_xleta.IF" hidden="1" xlm="1">#NAME?</definedName>
    <definedName name="_xleta.N" hidden="1" xlm="1">#NAME?</definedName>
    <definedName name="_xleta.SQRT" hidden="1" xlm="1">#NAME?</definedName>
    <definedName name="_xleta.SUM" hidden="1" xlm="1">#NAME?</definedName>
    <definedName name="_xleta.TODAY" hidden="1" xlm="1">#NAME?</definedName>
    <definedName name="a" localSheetId="4" hidden="1">{#N/A,#N/A,FALSE,"Costos Productos 6A";#N/A,#N/A,FALSE,"Costo Unitario Total H-94-12"}</definedName>
    <definedName name="a" localSheetId="19" hidden="1">{#N/A,#N/A,FALSE,"Costos Productos 6A";#N/A,#N/A,FALSE,"Costo Unitario Total H-94-12"}</definedName>
    <definedName name="a" localSheetId="16" hidden="1">{#N/A,#N/A,FALSE,"Costos Productos 6A";#N/A,#N/A,FALSE,"Costo Unitario Total H-94-12"}</definedName>
    <definedName name="a" localSheetId="3" hidden="1">{#N/A,#N/A,FALSE,"Costos Productos 6A";#N/A,#N/A,FALSE,"Costo Unitario Total H-94-12"}</definedName>
    <definedName name="a" localSheetId="15" hidden="1">{#N/A,#N/A,FALSE,"Costos Productos 6A";#N/A,#N/A,FALSE,"Costo Unitario Total H-94-12"}</definedName>
    <definedName name="a" localSheetId="23" hidden="1">{#N/A,#N/A,FALSE,"Costos Productos 6A";#N/A,#N/A,FALSE,"Costo Unitario Total H-94-12"}</definedName>
    <definedName name="a" localSheetId="0" hidden="1">{#N/A,#N/A,FALSE,"Costos Productos 6A";#N/A,#N/A,FALSE,"Costo Unitario Total H-94-12"}</definedName>
    <definedName name="a" hidden="1">{#N/A,#N/A,FALSE,"Costos Productos 6A";#N/A,#N/A,FALSE,"Costo Unitario Total H-94-12"}</definedName>
    <definedName name="A_impresión_IM">#REF!</definedName>
    <definedName name="a6d" localSheetId="4" hidden="1">{#N/A,#N/A,FALSE,"DITCAR";#N/A,#N/A,FALSE,"a1";#N/A,#N/A,FALSE,"a2";#N/A,#N/A,FALSE,"a3";#N/A,#N/A,FALSE,"a4";#N/A,#N/A,FALSE,"a4a";#N/A,#N/A,FALSE,"a4B";#N/A,#N/A,FALSE,"a4C";#N/A,#N/A,FALSE,"A5a ";#N/A,#N/A,FALSE,"A5b";#N/A,#N/A,FALSE,"A6A";#N/A,#N/A,FALSE,"A6B";#N/A,#N/A,FALSE,"A6C";#N/A,#N/A,FALSE,"04PG12NB"}</definedName>
    <definedName name="a6d" localSheetId="19" hidden="1">{#N/A,#N/A,FALSE,"DITCAR";#N/A,#N/A,FALSE,"a1";#N/A,#N/A,FALSE,"a2";#N/A,#N/A,FALSE,"a3";#N/A,#N/A,FALSE,"a4";#N/A,#N/A,FALSE,"a4a";#N/A,#N/A,FALSE,"a4B";#N/A,#N/A,FALSE,"a4C";#N/A,#N/A,FALSE,"A5a ";#N/A,#N/A,FALSE,"A5b";#N/A,#N/A,FALSE,"A6A";#N/A,#N/A,FALSE,"A6B";#N/A,#N/A,FALSE,"A6C";#N/A,#N/A,FALSE,"04PG12NB"}</definedName>
    <definedName name="a6d" localSheetId="16" hidden="1">{#N/A,#N/A,FALSE,"DITCAR";#N/A,#N/A,FALSE,"a1";#N/A,#N/A,FALSE,"a2";#N/A,#N/A,FALSE,"a3";#N/A,#N/A,FALSE,"a4";#N/A,#N/A,FALSE,"a4a";#N/A,#N/A,FALSE,"a4B";#N/A,#N/A,FALSE,"a4C";#N/A,#N/A,FALSE,"A5a ";#N/A,#N/A,FALSE,"A5b";#N/A,#N/A,FALSE,"A6A";#N/A,#N/A,FALSE,"A6B";#N/A,#N/A,FALSE,"A6C";#N/A,#N/A,FALSE,"04PG12NB"}</definedName>
    <definedName name="a6d" localSheetId="3" hidden="1">{#N/A,#N/A,FALSE,"DITCAR";#N/A,#N/A,FALSE,"a1";#N/A,#N/A,FALSE,"a2";#N/A,#N/A,FALSE,"a3";#N/A,#N/A,FALSE,"a4";#N/A,#N/A,FALSE,"a4a";#N/A,#N/A,FALSE,"a4B";#N/A,#N/A,FALSE,"a4C";#N/A,#N/A,FALSE,"A5a ";#N/A,#N/A,FALSE,"A5b";#N/A,#N/A,FALSE,"A6A";#N/A,#N/A,FALSE,"A6B";#N/A,#N/A,FALSE,"A6C";#N/A,#N/A,FALSE,"04PG12NB"}</definedName>
    <definedName name="a6d" localSheetId="15" hidden="1">{#N/A,#N/A,FALSE,"DITCAR";#N/A,#N/A,FALSE,"a1";#N/A,#N/A,FALSE,"a2";#N/A,#N/A,FALSE,"a3";#N/A,#N/A,FALSE,"a4";#N/A,#N/A,FALSE,"a4a";#N/A,#N/A,FALSE,"a4B";#N/A,#N/A,FALSE,"a4C";#N/A,#N/A,FALSE,"A5a ";#N/A,#N/A,FALSE,"A5b";#N/A,#N/A,FALSE,"A6A";#N/A,#N/A,FALSE,"A6B";#N/A,#N/A,FALSE,"A6C";#N/A,#N/A,FALSE,"04PG12NB"}</definedName>
    <definedName name="a6d" localSheetId="23" hidden="1">{#N/A,#N/A,FALSE,"DITCAR";#N/A,#N/A,FALSE,"a1";#N/A,#N/A,FALSE,"a2";#N/A,#N/A,FALSE,"a3";#N/A,#N/A,FALSE,"a4";#N/A,#N/A,FALSE,"a4a";#N/A,#N/A,FALSE,"a4B";#N/A,#N/A,FALSE,"a4C";#N/A,#N/A,FALSE,"A5a ";#N/A,#N/A,FALSE,"A5b";#N/A,#N/A,FALSE,"A6A";#N/A,#N/A,FALSE,"A6B";#N/A,#N/A,FALSE,"A6C";#N/A,#N/A,FALSE,"04PG12NB"}</definedName>
    <definedName name="a6d" localSheetId="0" hidden="1">{#N/A,#N/A,FALSE,"DITCAR";#N/A,#N/A,FALSE,"a1";#N/A,#N/A,FALSE,"a2";#N/A,#N/A,FALSE,"a3";#N/A,#N/A,FALSE,"a4";#N/A,#N/A,FALSE,"a4a";#N/A,#N/A,FALSE,"a4B";#N/A,#N/A,FALSE,"a4C";#N/A,#N/A,FALSE,"A5a ";#N/A,#N/A,FALSE,"A5b";#N/A,#N/A,FALSE,"A6A";#N/A,#N/A,FALSE,"A6B";#N/A,#N/A,FALSE,"A6C";#N/A,#N/A,FALSE,"04PG12NB"}</definedName>
    <definedName name="a6d" hidden="1">{#N/A,#N/A,FALSE,"DITCAR";#N/A,#N/A,FALSE,"a1";#N/A,#N/A,FALSE,"a2";#N/A,#N/A,FALSE,"a3";#N/A,#N/A,FALSE,"a4";#N/A,#N/A,FALSE,"a4a";#N/A,#N/A,FALSE,"a4B";#N/A,#N/A,FALSE,"a4C";#N/A,#N/A,FALSE,"A5a ";#N/A,#N/A,FALSE,"A5b";#N/A,#N/A,FALSE,"A6A";#N/A,#N/A,FALSE,"A6B";#N/A,#N/A,FALSE,"A6C";#N/A,#N/A,FALSE,"04PG12NB"}</definedName>
    <definedName name="a7d" hidden="1">{#N/A,#N/A,FALSE,"DITCAR";#N/A,#N/A,FALSE,"a1";#N/A,#N/A,FALSE,"a2";#N/A,#N/A,FALSE,"a3";#N/A,#N/A,FALSE,"a4";#N/A,#N/A,FALSE,"a4a";#N/A,#N/A,FALSE,"a4B";#N/A,#N/A,FALSE,"a4C";#N/A,#N/A,FALSE,"A5a ";#N/A,#N/A,FALSE,"A5b";#N/A,#N/A,FALSE,"A6A";#N/A,#N/A,FALSE,"A6B";#N/A,#N/A,FALSE,"A6C";#N/A,#N/A,FALSE,"04PG12NB"}</definedName>
    <definedName name="AA" localSheetId="4" hidden="1">#REF!</definedName>
    <definedName name="AA" localSheetId="19" hidden="1">{#N/A,#N/A,TRUE,"INGENIERIA";#N/A,#N/A,TRUE,"COMPRAS";#N/A,#N/A,TRUE,"DIRECCION";#N/A,#N/A,TRUE,"RESUMEN"}</definedName>
    <definedName name="AA" localSheetId="22" hidden="1">{#N/A,#N/A,TRUE,"INGENIERIA";#N/A,#N/A,TRUE,"COMPRAS";#N/A,#N/A,TRUE,"DIRECCION";#N/A,#N/A,TRUE,"RESUMEN"}</definedName>
    <definedName name="AA" localSheetId="16" hidden="1">{#N/A,#N/A,TRUE,"INGENIERIA";#N/A,#N/A,TRUE,"COMPRAS";#N/A,#N/A,TRUE,"DIRECCION";#N/A,#N/A,TRUE,"RESUMEN"}</definedName>
    <definedName name="AA" localSheetId="3" hidden="1">#REF!</definedName>
    <definedName name="AA" localSheetId="23" hidden="1">{#N/A,#N/A,TRUE,"INGENIERIA";#N/A,#N/A,TRUE,"COMPRAS";#N/A,#N/A,TRUE,"DIRECCION";#N/A,#N/A,TRUE,"RESUMEN"}</definedName>
    <definedName name="AA" hidden="1">{#N/A,#N/A,TRUE,"INGENIERIA";#N/A,#N/A,TRUE,"COMPRAS";#N/A,#N/A,TRUE,"DIRECCION";#N/A,#N/A,TRUE,"RESUMEN"}</definedName>
    <definedName name="aaa" localSheetId="4" hidden="1">{#N/A,#N/A,FALSE,"Costos Productos 6A";#N/A,#N/A,FALSE,"Costo Unitario Total H-94-12"}</definedName>
    <definedName name="aaa" localSheetId="19" hidden="1">{#N/A,#N/A,FALSE,"Costos Productos 6A";#N/A,#N/A,FALSE,"Costo Unitario Total H-94-12"}</definedName>
    <definedName name="aaa" localSheetId="16" hidden="1">{#N/A,#N/A,FALSE,"Costos Productos 6A";#N/A,#N/A,FALSE,"Costo Unitario Total H-94-12"}</definedName>
    <definedName name="aaa" localSheetId="3" hidden="1">{#N/A,#N/A,FALSE,"Costos Productos 6A";#N/A,#N/A,FALSE,"Costo Unitario Total H-94-12"}</definedName>
    <definedName name="aaa" localSheetId="15" hidden="1">{#N/A,#N/A,FALSE,"Costos Productos 6A";#N/A,#N/A,FALSE,"Costo Unitario Total H-94-12"}</definedName>
    <definedName name="aaa" localSheetId="23" hidden="1">{#N/A,#N/A,FALSE,"Costos Productos 6A";#N/A,#N/A,FALSE,"Costo Unitario Total H-94-12"}</definedName>
    <definedName name="aaa" localSheetId="0" hidden="1">{#N/A,#N/A,FALSE,"Costos Productos 6A";#N/A,#N/A,FALSE,"Costo Unitario Total H-94-12"}</definedName>
    <definedName name="aaa" hidden="1">{#N/A,#N/A,FALSE,"Costos Productos 6A";#N/A,#N/A,FALSE,"Costo Unitario Total H-94-12"}</definedName>
    <definedName name="AAAA">#REF!</definedName>
    <definedName name="AAAAAA" hidden="1">{#N/A,#N/A,TRUE,"INGENIERIA";#N/A,#N/A,TRUE,"COMPRAS";#N/A,#N/A,TRUE,"DIRECCION";#N/A,#N/A,TRUE,"RESUMEN"}</definedName>
    <definedName name="aaaaaaaaaaaa" hidden="1">#REF!</definedName>
    <definedName name="AAC">#REF!</definedName>
    <definedName name="AARB_">#REF!</definedName>
    <definedName name="AAS" localSheetId="19" hidden="1">{#N/A,#N/A,TRUE,"INGENIERIA";#N/A,#N/A,TRUE,"COMPRAS";#N/A,#N/A,TRUE,"DIRECCION";#N/A,#N/A,TRUE,"RESUMEN"}</definedName>
    <definedName name="AAS" localSheetId="22" hidden="1">{#N/A,#N/A,TRUE,"INGENIERIA";#N/A,#N/A,TRUE,"COMPRAS";#N/A,#N/A,TRUE,"DIRECCION";#N/A,#N/A,TRUE,"RESUMEN"}</definedName>
    <definedName name="AAS" localSheetId="16" hidden="1">{#N/A,#N/A,TRUE,"INGENIERIA";#N/A,#N/A,TRUE,"COMPRAS";#N/A,#N/A,TRUE,"DIRECCION";#N/A,#N/A,TRUE,"RESUMEN"}</definedName>
    <definedName name="AAS" localSheetId="23" hidden="1">{#N/A,#N/A,TRUE,"INGENIERIA";#N/A,#N/A,TRUE,"COMPRAS";#N/A,#N/A,TRUE,"DIRECCION";#N/A,#N/A,TRUE,"RESUMEN"}</definedName>
    <definedName name="AAS" hidden="1">{#N/A,#N/A,TRUE,"INGENIERIA";#N/A,#N/A,TRUE,"COMPRAS";#N/A,#N/A,TRUE,"DIRECCION";#N/A,#N/A,TRUE,"RESUMEN"}</definedName>
    <definedName name="aba_1">#REF!</definedName>
    <definedName name="aba_2">#REF!</definedName>
    <definedName name="abc" localSheetId="19" hidden="1">{#N/A,#N/A,TRUE,"1842CWN0"}</definedName>
    <definedName name="abc" localSheetId="22" hidden="1">{#N/A,#N/A,TRUE,"1842CWN0"}</definedName>
    <definedName name="abc" localSheetId="16" hidden="1">{#N/A,#N/A,TRUE,"1842CWN0"}</definedName>
    <definedName name="abc" localSheetId="23" hidden="1">{#N/A,#N/A,TRUE,"1842CWN0"}</definedName>
    <definedName name="abc" hidden="1">{#N/A,#N/A,TRUE,"1842CWN0"}</definedName>
    <definedName name="ABCD" localSheetId="22" hidden="1">#REF!</definedName>
    <definedName name="ABCD" localSheetId="23" hidden="1">#REF!</definedName>
    <definedName name="ABCD" hidden="1">#REF!</definedName>
    <definedName name="ABCDE" localSheetId="22" hidden="1">#REF!</definedName>
    <definedName name="ABCDE" localSheetId="23" hidden="1">#REF!</definedName>
    <definedName name="ABCDE" hidden="1">#REF!</definedName>
    <definedName name="ABG">#REF!</definedName>
    <definedName name="abr" hidden="1">#REF!</definedName>
    <definedName name="ACEB_">#REF!</definedName>
    <definedName name="ACEEP">#REF!</definedName>
    <definedName name="ACETATOS">#REF!</definedName>
    <definedName name="ACPA_">#REF!</definedName>
    <definedName name="ACPB_">#REF!</definedName>
    <definedName name="ACT">#REF!</definedName>
    <definedName name="ACT_COMP">#REF!</definedName>
    <definedName name="ACT_COMP2">#REF!</definedName>
    <definedName name="ACT_CONT">#REF!</definedName>
    <definedName name="ACT_CONT2">#REF!</definedName>
    <definedName name="AcumularBalance">#REF!</definedName>
    <definedName name="adf" hidden="1">{TRUE,TRUE,-0.8,-17,618,378,FALSE,FALSE,TRUE,TRUE,0,33,#N/A,89,#N/A,14.5641025641026,175.058823529412,1,FALSE,FALSE,3,TRUE,1,FALSE,75,"Swvu.oil.","ACwvu.oil.",#N/A,FALSE,FALSE,0.196850393700787,0.196850393700787,0.196850393700787,0.196850393700787,2,"","",TRUE,TRUE,FALSE,FALSE,1,#N/A,1,1,"=R1C1:R248C39",FALSE,"Rwvu.oil.","Cwvu.oil.",FALSE,FALSE,FALSE,1,600,600,FALSE,FALSE,TRUE,TRUE,TRUE}</definedName>
    <definedName name="ADI">#REF!</definedName>
    <definedName name="ADSD" hidden="1">{#N/A,#N/A,FALSE,"Costos Productos 6A";#N/A,#N/A,FALSE,"Costo Unitario Total H-94-12"}</definedName>
    <definedName name="AHJANADSMNFIOE" hidden="1">#REF!</definedName>
    <definedName name="Ajusteinf" localSheetId="4" hidden="1">{#N/A,#N/A,FALSE,"Costos Productos 6A";#N/A,#N/A,FALSE,"Costo Unitario Total H-94-12"}</definedName>
    <definedName name="Ajusteinf" localSheetId="19" hidden="1">{#N/A,#N/A,FALSE,"Costos Productos 6A";#N/A,#N/A,FALSE,"Costo Unitario Total H-94-12"}</definedName>
    <definedName name="Ajusteinf" localSheetId="16" hidden="1">{#N/A,#N/A,FALSE,"Costos Productos 6A";#N/A,#N/A,FALSE,"Costo Unitario Total H-94-12"}</definedName>
    <definedName name="Ajusteinf" localSheetId="3" hidden="1">{#N/A,#N/A,FALSE,"Costos Productos 6A";#N/A,#N/A,FALSE,"Costo Unitario Total H-94-12"}</definedName>
    <definedName name="Ajusteinf" localSheetId="15" hidden="1">{#N/A,#N/A,FALSE,"Costos Productos 6A";#N/A,#N/A,FALSE,"Costo Unitario Total H-94-12"}</definedName>
    <definedName name="Ajusteinf" localSheetId="23" hidden="1">{#N/A,#N/A,FALSE,"Costos Productos 6A";#N/A,#N/A,FALSE,"Costo Unitario Total H-94-12"}</definedName>
    <definedName name="Ajusteinf" localSheetId="0" hidden="1">{#N/A,#N/A,FALSE,"Costos Productos 6A";#N/A,#N/A,FALSE,"Costo Unitario Total H-94-12"}</definedName>
    <definedName name="Ajusteinf" hidden="1">{#N/A,#N/A,FALSE,"Costos Productos 6A";#N/A,#N/A,FALSE,"Costo Unitario Total H-94-12"}</definedName>
    <definedName name="AJUSTPTO" localSheetId="4" hidden="1">{#N/A,#N/A,FALSE,"Costos Productos 6A";#N/A,#N/A,FALSE,"Costo Unitario Total H-94-12"}</definedName>
    <definedName name="AJUSTPTO" localSheetId="19" hidden="1">{#N/A,#N/A,FALSE,"Costos Productos 6A";#N/A,#N/A,FALSE,"Costo Unitario Total H-94-12"}</definedName>
    <definedName name="AJUSTPTO" localSheetId="16" hidden="1">{#N/A,#N/A,FALSE,"Costos Productos 6A";#N/A,#N/A,FALSE,"Costo Unitario Total H-94-12"}</definedName>
    <definedName name="AJUSTPTO" localSheetId="3" hidden="1">{#N/A,#N/A,FALSE,"Costos Productos 6A";#N/A,#N/A,FALSE,"Costo Unitario Total H-94-12"}</definedName>
    <definedName name="AJUSTPTO" localSheetId="15" hidden="1">{#N/A,#N/A,FALSE,"Costos Productos 6A";#N/A,#N/A,FALSE,"Costo Unitario Total H-94-12"}</definedName>
    <definedName name="AJUSTPTO" localSheetId="23" hidden="1">{#N/A,#N/A,FALSE,"Costos Productos 6A";#N/A,#N/A,FALSE,"Costo Unitario Total H-94-12"}</definedName>
    <definedName name="AJUSTPTO" localSheetId="0" hidden="1">{#N/A,#N/A,FALSE,"Costos Productos 6A";#N/A,#N/A,FALSE,"Costo Unitario Total H-94-12"}</definedName>
    <definedName name="AJUSTPTO" hidden="1">{#N/A,#N/A,FALSE,"Costos Productos 6A";#N/A,#N/A,FALSE,"Costo Unitario Total H-94-12"}</definedName>
    <definedName name="alam">#REF!</definedName>
    <definedName name="AlcD">#REF!</definedName>
    <definedName name="AlcD1">#REF!</definedName>
    <definedName name="ALCEP">#REF!</definedName>
    <definedName name="AlcS">#REF!</definedName>
    <definedName name="AlcS1">#REF!</definedName>
    <definedName name="AlcT">#REF!</definedName>
    <definedName name="AlcT1">#REF!</definedName>
    <definedName name="aLTERNATIVA" hidden="1">#REF!</definedName>
    <definedName name="AMAZONAS">#REF!</definedName>
    <definedName name="Ambientales">#REF!</definedName>
    <definedName name="Amount">#REF!</definedName>
    <definedName name="an" hidden="1">{#N/A,#N/A,FALSE,"CIBHA05A";#N/A,#N/A,FALSE,"CIBHA05B"}</definedName>
    <definedName name="analyzer_flg_001">#REF!</definedName>
    <definedName name="anex7">#REF!</definedName>
    <definedName name="anex8">#REF!</definedName>
    <definedName name="anexo1">#REF!</definedName>
    <definedName name="anexo10">#REF!</definedName>
    <definedName name="anexo11">#REF!</definedName>
    <definedName name="anexo12">#REF!</definedName>
    <definedName name="anexo13">#REF!</definedName>
    <definedName name="anexo14">#REF!</definedName>
    <definedName name="anexo15">#REF!</definedName>
    <definedName name="anexo2">#REF!</definedName>
    <definedName name="anexo3">#REF!</definedName>
    <definedName name="anexo4">#REF!</definedName>
    <definedName name="anexo5">#REF!</definedName>
    <definedName name="anexo6">#REF!</definedName>
    <definedName name="anexo7">#REF!</definedName>
    <definedName name="anexo8">#REF!</definedName>
    <definedName name="anexo9">#REF!</definedName>
    <definedName name="anexů7">#REF!</definedName>
    <definedName name="angelica">Listas!$A$51:$A36</definedName>
    <definedName name="ANTIOQUIA">#REF!</definedName>
    <definedName name="APcas">#REF!</definedName>
    <definedName name="APcom">#REF!</definedName>
    <definedName name="APcp">#REF!</definedName>
    <definedName name="ape">#REF!</definedName>
    <definedName name="APELLIDOS">#REF!</definedName>
    <definedName name="APU">#REF!</definedName>
    <definedName name="ARANCEL">#REF!</definedName>
    <definedName name="ARAUCA">#REF!</definedName>
    <definedName name="ÁREA">#REF!</definedName>
    <definedName name="_xlnm.Print_Area" localSheetId="4">'C.C. '!$A$1:$AH$40</definedName>
    <definedName name="_xlnm.Print_Area" localSheetId="5">'CÁLCULO CONDUCTORES DE MT'!$A$1:$AG$18</definedName>
    <definedName name="_xlnm.Print_Area" localSheetId="16">'H1-CUADRO DE CARGAS'!$A$2:$U$48</definedName>
    <definedName name="_xlnm.Print_Area" localSheetId="10">'H2-CONDUCTORES DE BT'!$A$1:$AH$28</definedName>
    <definedName name="_xlnm.Print_Area" localSheetId="11">'H3-PÉRDIDAS'!$A$1:$W$42</definedName>
    <definedName name="_xlnm.Print_Area" localSheetId="12">'H4-CANALIZACIONES'!$A$1:$AN$37</definedName>
    <definedName name="_xlnm.Print_Area" localSheetId="17">NOTAS!$A$1:$AD$84</definedName>
    <definedName name="_xlnm.Print_Area" localSheetId="13">'PÉRDIDAS ECONO Al'!$A$1:$Y$37</definedName>
    <definedName name="_xlnm.Print_Area" localSheetId="14">'PÉRDIDAS ECONO Cu'!$B$1:$AF$33</definedName>
    <definedName name="_xlnm.Print_Area" localSheetId="3">'PORTADA '!$A$1:$AH$52</definedName>
    <definedName name="_xlnm.Print_Area" localSheetId="15">RESUMEN!$A$1:$AH$32</definedName>
    <definedName name="_xlnm.Print_Area" localSheetId="25">TABLAC!$B$9:$K$29</definedName>
    <definedName name="_xlnm.Print_Area" localSheetId="0">TEORIA1!$A$1:$AH$598</definedName>
    <definedName name="_xlnm.Print_Area" localSheetId="1">TEORIA2!$A$1:$AH$35</definedName>
    <definedName name="_xlnm.Print_Area">#REF!</definedName>
    <definedName name="area_id_001">#REF!</definedName>
    <definedName name="AreaLimpiar">#REF!,#REF!,#REF!,#REF!,#REF!,#REF!,#REF!,#REF!,#REF!,#REF!</definedName>
    <definedName name="Aref">#REF!</definedName>
    <definedName name="ARM_">#REF!</definedName>
    <definedName name="ARP">#REF!</definedName>
    <definedName name="arriba">#REF!</definedName>
    <definedName name="ARS">#REF!</definedName>
    <definedName name="asas" hidden="1">{#N/A,#N/A,FALSE,"Costos Productos 6A";#N/A,#N/A,FALSE,"Costo Unitario Total H-94-12"}</definedName>
    <definedName name="ASASDA" hidden="1">{"cprgas",#N/A,FALSE,"CPR_E";"cprwat",#N/A,FALSE,"CPR_E";"oilcpr",#N/A,FALSE,"CPR_E";"norwat",#N/A,FALSE,"CPR_E";"norgas",#N/A,FALSE,"CPR_E";"noroil",#N/A,FALSE,"CPR_E";"surwat",#N/A,FALSE,"CPR_E";"surgas",#N/A,FALSE,"CPR_E";"suroil",#N/A,FALSE,"CPR_E";"puriwat",#N/A,FALSE,"CPR_E";"purigas",#N/A,FALSE,"CPR_E";"purioil",#N/A,FALSE,"CPR_E"}</definedName>
    <definedName name="ASB">#REF!</definedName>
    <definedName name="ASDA" hidden="1">{#N/A,#N/A,FALSE,"CIBHA05A";#N/A,#N/A,FALSE,"CIBHA05B"}</definedName>
    <definedName name="ASDASD" hidden="1">{#N/A,#N/A,FALSE,"Costos Productos 6A";#N/A,#N/A,FALSE,"Costo Unitario Total H-94-12"}</definedName>
    <definedName name="asdfasdfsadf" localSheetId="22" hidden="1">#REF!</definedName>
    <definedName name="asdfasdfsadf" localSheetId="23" hidden="1">#REF!</definedName>
    <definedName name="asdfasdfsadf" hidden="1">#REF!</definedName>
    <definedName name="ASESORÍA">#REF!</definedName>
    <definedName name="ASESORÍA1">#REF!</definedName>
    <definedName name="asf" hidden="1">{#N/A,#N/A,FALSE,"DMC schedule";#N/A,#N/A,FALSE,"DMC_THC Revenue";#N/A,#N/A,FALSE,"Personnel plan";#N/A,#N/A,FALSE,"Capex HW+SW";#N/A,#N/A,FALSE,"P&amp;L"}</definedName>
    <definedName name="ASFA_">#REF!</definedName>
    <definedName name="ASFB_">#REF!</definedName>
    <definedName name="asfdfe" localSheetId="19" hidden="1">{#N/A,#N/A,TRUE,"INGENIERIA";#N/A,#N/A,TRUE,"COMPRAS";#N/A,#N/A,TRUE,"DIRECCION";#N/A,#N/A,TRUE,"RESUMEN"}</definedName>
    <definedName name="asfdfe" localSheetId="22" hidden="1">{#N/A,#N/A,TRUE,"INGENIERIA";#N/A,#N/A,TRUE,"COMPRAS";#N/A,#N/A,TRUE,"DIRECCION";#N/A,#N/A,TRUE,"RESUMEN"}</definedName>
    <definedName name="asfdfe" localSheetId="16" hidden="1">{#N/A,#N/A,TRUE,"INGENIERIA";#N/A,#N/A,TRUE,"COMPRAS";#N/A,#N/A,TRUE,"DIRECCION";#N/A,#N/A,TRUE,"RESUMEN"}</definedName>
    <definedName name="asfdfe" localSheetId="23" hidden="1">{#N/A,#N/A,TRUE,"INGENIERIA";#N/A,#N/A,TRUE,"COMPRAS";#N/A,#N/A,TRUE,"DIRECCION";#N/A,#N/A,TRUE,"RESUMEN"}</definedName>
    <definedName name="asfdfe" hidden="1">{#N/A,#N/A,TRUE,"INGENIERIA";#N/A,#N/A,TRUE,"COMPRAS";#N/A,#N/A,TRUE,"DIRECCION";#N/A,#N/A,TRUE,"RESUMEN"}</definedName>
    <definedName name="asfff" hidden="1">#REF!</definedName>
    <definedName name="ATLÁNTICO">#REF!</definedName>
    <definedName name="Atp">#REF!</definedName>
    <definedName name="AuxAlim">#REF!</definedName>
    <definedName name="auxalimentacion">#REF!</definedName>
    <definedName name="AuxCom">#REF!</definedName>
    <definedName name="auxcomisariato">#REF!</definedName>
    <definedName name="AuxDot">#REF!</definedName>
    <definedName name="auxdotacion">#REF!</definedName>
    <definedName name="AuxHab">#REF!</definedName>
    <definedName name="auxhabi">#REF!</definedName>
    <definedName name="auxhabitacion">#REF!</definedName>
    <definedName name="auxtransporte">#REF!</definedName>
    <definedName name="AVAN">#REF!</definedName>
    <definedName name="AVGA_">#REF!</definedName>
    <definedName name="AWG">Listas!$X$2:$X$16</definedName>
    <definedName name="AYcb8">#REF!</definedName>
    <definedName name="AYclm">#REF!</definedName>
    <definedName name="AYcom">#REF!</definedName>
    <definedName name="AYcov">#REF!</definedName>
    <definedName name="AYgal">#REF!</definedName>
    <definedName name="b">#REF!</definedName>
    <definedName name="backup_link_master_001">#REF!</definedName>
    <definedName name="Bajo_L">#REF!</definedName>
    <definedName name="base">#REF!</definedName>
    <definedName name="base_VaR">#REF!</definedName>
    <definedName name="_xlnm.Database" localSheetId="4">#REF!</definedName>
    <definedName name="_xlnm.Database" localSheetId="3">#REF!</definedName>
    <definedName name="_xlnm.Database" localSheetId="15">#REF!</definedName>
    <definedName name="_xlnm.Database" localSheetId="0">#REF!</definedName>
    <definedName name="_xlnm.Database">[1]Transformador!#REF!</definedName>
    <definedName name="BB" hidden="1">{#N/A,#N/A,FALSE,"CIBHA05A";#N/A,#N/A,FALSE,"CIBHA05B"}</definedName>
    <definedName name="bbbbbb" hidden="1">{#N/A,#N/A,FALSE,"Upía";#N/A,#N/A,FALSE,"CPR Espinal";#N/A,#N/A,FALSE,"Magangué"}</definedName>
    <definedName name="BC" localSheetId="4">#REF!</definedName>
    <definedName name="BC" localSheetId="3">#REF!</definedName>
    <definedName name="BC">#N/A</definedName>
    <definedName name="BDD">#REF!</definedName>
    <definedName name="Beg_Bal" localSheetId="15">#REF!</definedName>
    <definedName name="Beg_Bal" localSheetId="23">#REF!</definedName>
    <definedName name="Beg_Bal">#REF!</definedName>
    <definedName name="BEIA_">#REF!</definedName>
    <definedName name="BEN_">#REF!</definedName>
    <definedName name="BENE_">#REF!</definedName>
    <definedName name="BHH" hidden="1">#REF!</definedName>
    <definedName name="BLPH1" hidden="1">#REF!</definedName>
    <definedName name="BMC_">#REF!</definedName>
    <definedName name="BNP_">#REF!</definedName>
    <definedName name="BOLÍVAR">#REF!</definedName>
    <definedName name="Borrar" localSheetId="19" hidden="1">{#N/A,#N/A,TRUE,"INGENIERIA";#N/A,#N/A,TRUE,"COMPRAS";#N/A,#N/A,TRUE,"DIRECCION";#N/A,#N/A,TRUE,"RESUMEN"}</definedName>
    <definedName name="Borrar" localSheetId="22" hidden="1">{#N/A,#N/A,TRUE,"INGENIERIA";#N/A,#N/A,TRUE,"COMPRAS";#N/A,#N/A,TRUE,"DIRECCION";#N/A,#N/A,TRUE,"RESUMEN"}</definedName>
    <definedName name="Borrar" localSheetId="16" hidden="1">{#N/A,#N/A,TRUE,"INGENIERIA";#N/A,#N/A,TRUE,"COMPRAS";#N/A,#N/A,TRUE,"DIRECCION";#N/A,#N/A,TRUE,"RESUMEN"}</definedName>
    <definedName name="Borrar" localSheetId="23" hidden="1">{#N/A,#N/A,TRUE,"INGENIERIA";#N/A,#N/A,TRUE,"COMPRAS";#N/A,#N/A,TRUE,"DIRECCION";#N/A,#N/A,TRUE,"RESUMEN"}</definedName>
    <definedName name="Borrar" hidden="1">{#N/A,#N/A,TRUE,"INGENIERIA";#N/A,#N/A,TRUE,"COMPRAS";#N/A,#N/A,TRUE,"DIRECCION";#N/A,#N/A,TRUE,"RESUMEN"}</definedName>
    <definedName name="Borrar_" localSheetId="19" hidden="1">{#N/A,#N/A,TRUE,"1842CWN0"}</definedName>
    <definedName name="Borrar_" localSheetId="22" hidden="1">{#N/A,#N/A,TRUE,"1842CWN0"}</definedName>
    <definedName name="Borrar_" localSheetId="16" hidden="1">{#N/A,#N/A,TRUE,"1842CWN0"}</definedName>
    <definedName name="Borrar_" localSheetId="23" hidden="1">{#N/A,#N/A,TRUE,"1842CWN0"}</definedName>
    <definedName name="Borrar_" hidden="1">{#N/A,#N/A,TRUE,"1842CWN0"}</definedName>
    <definedName name="Borrar__" localSheetId="19" hidden="1">{#N/A,#N/A,TRUE,"INGENIERIA";#N/A,#N/A,TRUE,"COMPRAS";#N/A,#N/A,TRUE,"DIRECCION";#N/A,#N/A,TRUE,"RESUMEN"}</definedName>
    <definedName name="Borrar__" localSheetId="22" hidden="1">{#N/A,#N/A,TRUE,"INGENIERIA";#N/A,#N/A,TRUE,"COMPRAS";#N/A,#N/A,TRUE,"DIRECCION";#N/A,#N/A,TRUE,"RESUMEN"}</definedName>
    <definedName name="Borrar__" localSheetId="16" hidden="1">{#N/A,#N/A,TRUE,"INGENIERIA";#N/A,#N/A,TRUE,"COMPRAS";#N/A,#N/A,TRUE,"DIRECCION";#N/A,#N/A,TRUE,"RESUMEN"}</definedName>
    <definedName name="Borrar__" localSheetId="23" hidden="1">{#N/A,#N/A,TRUE,"INGENIERIA";#N/A,#N/A,TRUE,"COMPRAS";#N/A,#N/A,TRUE,"DIRECCION";#N/A,#N/A,TRUE,"RESUMEN"}</definedName>
    <definedName name="Borrar__" hidden="1">{#N/A,#N/A,TRUE,"INGENIERIA";#N/A,#N/A,TRUE,"COMPRAS";#N/A,#N/A,TRUE,"DIRECCION";#N/A,#N/A,TRUE,"RESUMEN"}</definedName>
    <definedName name="Borrar__0" localSheetId="19" hidden="1">{#N/A,#N/A,TRUE,"1842CWN0"}</definedName>
    <definedName name="Borrar__0" localSheetId="22" hidden="1">{#N/A,#N/A,TRUE,"1842CWN0"}</definedName>
    <definedName name="Borrar__0" localSheetId="16" hidden="1">{#N/A,#N/A,TRUE,"1842CWN0"}</definedName>
    <definedName name="Borrar__0" localSheetId="23" hidden="1">{#N/A,#N/A,TRUE,"1842CWN0"}</definedName>
    <definedName name="Borrar__0" hidden="1">{#N/A,#N/A,TRUE,"1842CWN0"}</definedName>
    <definedName name="Borrar__1" localSheetId="19" hidden="1">{#N/A,#N/A,TRUE,"1842CWN0"}</definedName>
    <definedName name="Borrar__1" localSheetId="22" hidden="1">{#N/A,#N/A,TRUE,"1842CWN0"}</definedName>
    <definedName name="Borrar__1" localSheetId="16" hidden="1">{#N/A,#N/A,TRUE,"1842CWN0"}</definedName>
    <definedName name="Borrar__1" localSheetId="23" hidden="1">{#N/A,#N/A,TRUE,"1842CWN0"}</definedName>
    <definedName name="Borrar__1" hidden="1">{#N/A,#N/A,TRUE,"1842CWN0"}</definedName>
    <definedName name="Borrar__2" localSheetId="19" hidden="1">{#N/A,#N/A,TRUE,"1842CWN0"}</definedName>
    <definedName name="Borrar__2" localSheetId="22" hidden="1">{#N/A,#N/A,TRUE,"1842CWN0"}</definedName>
    <definedName name="Borrar__2" localSheetId="16" hidden="1">{#N/A,#N/A,TRUE,"1842CWN0"}</definedName>
    <definedName name="Borrar__2" localSheetId="23" hidden="1">{#N/A,#N/A,TRUE,"1842CWN0"}</definedName>
    <definedName name="Borrar__2" hidden="1">{#N/A,#N/A,TRUE,"1842CWN0"}</definedName>
    <definedName name="Borrar__3" localSheetId="19" hidden="1">{#N/A,#N/A,TRUE,"1842CWN0"}</definedName>
    <definedName name="Borrar__3" localSheetId="22" hidden="1">{#N/A,#N/A,TRUE,"1842CWN0"}</definedName>
    <definedName name="Borrar__3" localSheetId="16" hidden="1">{#N/A,#N/A,TRUE,"1842CWN0"}</definedName>
    <definedName name="Borrar__3" localSheetId="23" hidden="1">{#N/A,#N/A,TRUE,"1842CWN0"}</definedName>
    <definedName name="Borrar__3" hidden="1">{#N/A,#N/A,TRUE,"1842CWN0"}</definedName>
    <definedName name="Borrar__4" localSheetId="19" hidden="1">{#N/A,#N/A,TRUE,"1842CWN0"}</definedName>
    <definedName name="Borrar__4" localSheetId="22" hidden="1">{#N/A,#N/A,TRUE,"1842CWN0"}</definedName>
    <definedName name="Borrar__4" localSheetId="16" hidden="1">{#N/A,#N/A,TRUE,"1842CWN0"}</definedName>
    <definedName name="Borrar__4" localSheetId="23" hidden="1">{#N/A,#N/A,TRUE,"1842CWN0"}</definedName>
    <definedName name="Borrar__4" hidden="1">{#N/A,#N/A,TRUE,"1842CWN0"}</definedName>
    <definedName name="Borrar__5" hidden="1">#REF!</definedName>
    <definedName name="Borrar__6" localSheetId="19" hidden="1">{#N/A,#N/A,TRUE,"1842CWN0"}</definedName>
    <definedName name="Borrar__6" localSheetId="22" hidden="1">{#N/A,#N/A,TRUE,"1842CWN0"}</definedName>
    <definedName name="Borrar__6" localSheetId="16" hidden="1">{#N/A,#N/A,TRUE,"1842CWN0"}</definedName>
    <definedName name="Borrar__6" localSheetId="23" hidden="1">{#N/A,#N/A,TRUE,"1842CWN0"}</definedName>
    <definedName name="Borrar__6" hidden="1">{#N/A,#N/A,TRUE,"1842CWN0"}</definedName>
    <definedName name="Borrar__7" hidden="1">#REF!</definedName>
    <definedName name="Borrar__8" localSheetId="19" hidden="1">{#N/A,#N/A,TRUE,"1842CWN0"}</definedName>
    <definedName name="Borrar__8" localSheetId="22" hidden="1">{#N/A,#N/A,TRUE,"1842CWN0"}</definedName>
    <definedName name="Borrar__8" localSheetId="16" hidden="1">{#N/A,#N/A,TRUE,"1842CWN0"}</definedName>
    <definedName name="Borrar__8" localSheetId="23" hidden="1">{#N/A,#N/A,TRUE,"1842CWN0"}</definedName>
    <definedName name="Borrar__8" hidden="1">{#N/A,#N/A,TRUE,"1842CWN0"}</definedName>
    <definedName name="Borrar__9" localSheetId="19" hidden="1">{#N/A,#N/A,TRUE,"INGENIERIA";#N/A,#N/A,TRUE,"COMPRAS";#N/A,#N/A,TRUE,"DIRECCION";#N/A,#N/A,TRUE,"RESUMEN"}</definedName>
    <definedName name="Borrar__9" localSheetId="22" hidden="1">{#N/A,#N/A,TRUE,"INGENIERIA";#N/A,#N/A,TRUE,"COMPRAS";#N/A,#N/A,TRUE,"DIRECCION";#N/A,#N/A,TRUE,"RESUMEN"}</definedName>
    <definedName name="Borrar__9" localSheetId="16" hidden="1">{#N/A,#N/A,TRUE,"INGENIERIA";#N/A,#N/A,TRUE,"COMPRAS";#N/A,#N/A,TRUE,"DIRECCION";#N/A,#N/A,TRUE,"RESUMEN"}</definedName>
    <definedName name="Borrar__9" localSheetId="23" hidden="1">{#N/A,#N/A,TRUE,"INGENIERIA";#N/A,#N/A,TRUE,"COMPRAS";#N/A,#N/A,TRUE,"DIRECCION";#N/A,#N/A,TRUE,"RESUMEN"}</definedName>
    <definedName name="Borrar__9" hidden="1">{#N/A,#N/A,TRUE,"INGENIERIA";#N/A,#N/A,TRUE,"COMPRAS";#N/A,#N/A,TRUE,"DIRECCION";#N/A,#N/A,TRUE,"RESUMEN"}</definedName>
    <definedName name="Borrar_0" localSheetId="19" hidden="1">{#N/A,#N/A,TRUE,"1842CWN0"}</definedName>
    <definedName name="Borrar_0" localSheetId="22" hidden="1">{#N/A,#N/A,TRUE,"1842CWN0"}</definedName>
    <definedName name="Borrar_0" localSheetId="16" hidden="1">{#N/A,#N/A,TRUE,"1842CWN0"}</definedName>
    <definedName name="Borrar_0" localSheetId="23" hidden="1">{#N/A,#N/A,TRUE,"1842CWN0"}</definedName>
    <definedName name="Borrar_0" hidden="1">{#N/A,#N/A,TRUE,"1842CWN0"}</definedName>
    <definedName name="Borrar_1" hidden="1">#REF!</definedName>
    <definedName name="Borrar_2" localSheetId="22" hidden="1">#REF!</definedName>
    <definedName name="Borrar_2" hidden="1">#REF!</definedName>
    <definedName name="Borrar_3" localSheetId="19" hidden="1">{#N/A,#N/A,TRUE,"INGENIERIA";#N/A,#N/A,TRUE,"COMPRAS";#N/A,#N/A,TRUE,"DIRECCION";#N/A,#N/A,TRUE,"RESUMEN"}</definedName>
    <definedName name="Borrar_3" localSheetId="22" hidden="1">{#N/A,#N/A,TRUE,"INGENIERIA";#N/A,#N/A,TRUE,"COMPRAS";#N/A,#N/A,TRUE,"DIRECCION";#N/A,#N/A,TRUE,"RESUMEN"}</definedName>
    <definedName name="Borrar_3" localSheetId="16" hidden="1">{#N/A,#N/A,TRUE,"INGENIERIA";#N/A,#N/A,TRUE,"COMPRAS";#N/A,#N/A,TRUE,"DIRECCION";#N/A,#N/A,TRUE,"RESUMEN"}</definedName>
    <definedName name="Borrar_3" localSheetId="23" hidden="1">{#N/A,#N/A,TRUE,"INGENIERIA";#N/A,#N/A,TRUE,"COMPRAS";#N/A,#N/A,TRUE,"DIRECCION";#N/A,#N/A,TRUE,"RESUMEN"}</definedName>
    <definedName name="Borrar_3" hidden="1">{#N/A,#N/A,TRUE,"INGENIERIA";#N/A,#N/A,TRUE,"COMPRAS";#N/A,#N/A,TRUE,"DIRECCION";#N/A,#N/A,TRUE,"RESUMEN"}</definedName>
    <definedName name="Borrar_5" localSheetId="19" hidden="1">{#N/A,#N/A,TRUE,"INGENIERIA";#N/A,#N/A,TRUE,"COMPRAS";#N/A,#N/A,TRUE,"DIRECCION";#N/A,#N/A,TRUE,"RESUMEN"}</definedName>
    <definedName name="Borrar_5" localSheetId="22" hidden="1">{#N/A,#N/A,TRUE,"INGENIERIA";#N/A,#N/A,TRUE,"COMPRAS";#N/A,#N/A,TRUE,"DIRECCION";#N/A,#N/A,TRUE,"RESUMEN"}</definedName>
    <definedName name="Borrar_5" localSheetId="16" hidden="1">{#N/A,#N/A,TRUE,"INGENIERIA";#N/A,#N/A,TRUE,"COMPRAS";#N/A,#N/A,TRUE,"DIRECCION";#N/A,#N/A,TRUE,"RESUMEN"}</definedName>
    <definedName name="Borrar_5" localSheetId="23" hidden="1">{#N/A,#N/A,TRUE,"INGENIERIA";#N/A,#N/A,TRUE,"COMPRAS";#N/A,#N/A,TRUE,"DIRECCION";#N/A,#N/A,TRUE,"RESUMEN"}</definedName>
    <definedName name="Borrar_5" hidden="1">{#N/A,#N/A,TRUE,"INGENIERIA";#N/A,#N/A,TRUE,"COMPRAS";#N/A,#N/A,TRUE,"DIRECCION";#N/A,#N/A,TRUE,"RESUMEN"}</definedName>
    <definedName name="Borrar_6" localSheetId="19"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6" localSheetId="22"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6" localSheetId="16"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6" localSheetId="2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6"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7" localSheetId="19" hidden="1">{#N/A,#N/A,TRUE,"INGENIERIA";#N/A,#N/A,TRUE,"COMPRAS";#N/A,#N/A,TRUE,"DIRECCION";#N/A,#N/A,TRUE,"RESUMEN"}</definedName>
    <definedName name="Borrar_7" localSheetId="22" hidden="1">{#N/A,#N/A,TRUE,"INGENIERIA";#N/A,#N/A,TRUE,"COMPRAS";#N/A,#N/A,TRUE,"DIRECCION";#N/A,#N/A,TRUE,"RESUMEN"}</definedName>
    <definedName name="Borrar_7" localSheetId="16" hidden="1">{#N/A,#N/A,TRUE,"INGENIERIA";#N/A,#N/A,TRUE,"COMPRAS";#N/A,#N/A,TRUE,"DIRECCION";#N/A,#N/A,TRUE,"RESUMEN"}</definedName>
    <definedName name="Borrar_7" localSheetId="23" hidden="1">{#N/A,#N/A,TRUE,"INGENIERIA";#N/A,#N/A,TRUE,"COMPRAS";#N/A,#N/A,TRUE,"DIRECCION";#N/A,#N/A,TRUE,"RESUMEN"}</definedName>
    <definedName name="Borrar_7" hidden="1">{#N/A,#N/A,TRUE,"INGENIERIA";#N/A,#N/A,TRUE,"COMPRAS";#N/A,#N/A,TRUE,"DIRECCION";#N/A,#N/A,TRUE,"RESUMEN"}</definedName>
    <definedName name="Borrar_8" localSheetId="19" hidden="1">{#N/A,#N/A,TRUE,"1842CWN0"}</definedName>
    <definedName name="Borrar_8" localSheetId="22" hidden="1">{#N/A,#N/A,TRUE,"1842CWN0"}</definedName>
    <definedName name="Borrar_8" localSheetId="16" hidden="1">{#N/A,#N/A,TRUE,"1842CWN0"}</definedName>
    <definedName name="Borrar_8" localSheetId="23" hidden="1">{#N/A,#N/A,TRUE,"1842CWN0"}</definedName>
    <definedName name="Borrar_8" hidden="1">{#N/A,#N/A,TRUE,"1842CWN0"}</definedName>
    <definedName name="Borrar_9" hidden="1">#REF!</definedName>
    <definedName name="Borrar_x" localSheetId="22" hidden="1">#REF!</definedName>
    <definedName name="Borrar_x" hidden="1">#REF!</definedName>
    <definedName name="Borrar_x0" localSheetId="19" hidden="1">{#N/A,#N/A,TRUE,"INGENIERIA";#N/A,#N/A,TRUE,"COMPRAS";#N/A,#N/A,TRUE,"DIRECCION";#N/A,#N/A,TRUE,"RESUMEN"}</definedName>
    <definedName name="Borrar_x0" localSheetId="22" hidden="1">{#N/A,#N/A,TRUE,"INGENIERIA";#N/A,#N/A,TRUE,"COMPRAS";#N/A,#N/A,TRUE,"DIRECCION";#N/A,#N/A,TRUE,"RESUMEN"}</definedName>
    <definedName name="Borrar_x0" localSheetId="16" hidden="1">{#N/A,#N/A,TRUE,"INGENIERIA";#N/A,#N/A,TRUE,"COMPRAS";#N/A,#N/A,TRUE,"DIRECCION";#N/A,#N/A,TRUE,"RESUMEN"}</definedName>
    <definedName name="Borrar_x0" localSheetId="23" hidden="1">{#N/A,#N/A,TRUE,"INGENIERIA";#N/A,#N/A,TRUE,"COMPRAS";#N/A,#N/A,TRUE,"DIRECCION";#N/A,#N/A,TRUE,"RESUMEN"}</definedName>
    <definedName name="Borrar_x0" hidden="1">{#N/A,#N/A,TRUE,"INGENIERIA";#N/A,#N/A,TRUE,"COMPRAS";#N/A,#N/A,TRUE,"DIRECCION";#N/A,#N/A,TRUE,"RESUMEN"}</definedName>
    <definedName name="Borrar_x3" localSheetId="19"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3" localSheetId="22"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3" localSheetId="16"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3" localSheetId="2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4" localSheetId="19" hidden="1">{#N/A,#N/A,TRUE,"1842CWN0"}</definedName>
    <definedName name="Borrar_x4" localSheetId="22" hidden="1">{#N/A,#N/A,TRUE,"1842CWN0"}</definedName>
    <definedName name="Borrar_x4" localSheetId="16" hidden="1">{#N/A,#N/A,TRUE,"1842CWN0"}</definedName>
    <definedName name="Borrar_x4" localSheetId="23" hidden="1">{#N/A,#N/A,TRUE,"1842CWN0"}</definedName>
    <definedName name="Borrar_x4" hidden="1">{#N/A,#N/A,TRUE,"1842CWN0"}</definedName>
    <definedName name="Borrar_x5" localSheetId="19"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5" localSheetId="22"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5" localSheetId="16"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5" localSheetId="2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5"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Borrar_x6" localSheetId="19" hidden="1">{#N/A,#N/A,TRUE,"INGENIERIA";#N/A,#N/A,TRUE,"COMPRAS";#N/A,#N/A,TRUE,"DIRECCION";#N/A,#N/A,TRUE,"RESUMEN"}</definedName>
    <definedName name="Borrar_x6" localSheetId="22" hidden="1">{#N/A,#N/A,TRUE,"INGENIERIA";#N/A,#N/A,TRUE,"COMPRAS";#N/A,#N/A,TRUE,"DIRECCION";#N/A,#N/A,TRUE,"RESUMEN"}</definedName>
    <definedName name="Borrar_x6" localSheetId="16" hidden="1">{#N/A,#N/A,TRUE,"INGENIERIA";#N/A,#N/A,TRUE,"COMPRAS";#N/A,#N/A,TRUE,"DIRECCION";#N/A,#N/A,TRUE,"RESUMEN"}</definedName>
    <definedName name="Borrar_x6" localSheetId="23" hidden="1">{#N/A,#N/A,TRUE,"INGENIERIA";#N/A,#N/A,TRUE,"COMPRAS";#N/A,#N/A,TRUE,"DIRECCION";#N/A,#N/A,TRUE,"RESUMEN"}</definedName>
    <definedName name="Borrar_x6" hidden="1">{#N/A,#N/A,TRUE,"INGENIERIA";#N/A,#N/A,TRUE,"COMPRAS";#N/A,#N/A,TRUE,"DIRECCION";#N/A,#N/A,TRUE,"RESUMEN"}</definedName>
    <definedName name="Borrar_x7" localSheetId="19" hidden="1">{#N/A,#N/A,TRUE,"1842CWN0"}</definedName>
    <definedName name="Borrar_x7" localSheetId="22" hidden="1">{#N/A,#N/A,TRUE,"1842CWN0"}</definedName>
    <definedName name="Borrar_x7" localSheetId="16" hidden="1">{#N/A,#N/A,TRUE,"1842CWN0"}</definedName>
    <definedName name="Borrar_x7" localSheetId="23" hidden="1">{#N/A,#N/A,TRUE,"1842CWN0"}</definedName>
    <definedName name="Borrar_x7" hidden="1">{#N/A,#N/A,TRUE,"1842CWN0"}</definedName>
    <definedName name="Borrar_x8" hidden="1">#REF!</definedName>
    <definedName name="Borrar_x9" localSheetId="22" hidden="1">#REF!</definedName>
    <definedName name="Borrar_x9" hidden="1">#REF!</definedName>
    <definedName name="Borrar0" localSheetId="19" hidden="1">{#N/A,#N/A,TRUE,"INGENIERIA";#N/A,#N/A,TRUE,"COMPRAS";#N/A,#N/A,TRUE,"DIRECCION";#N/A,#N/A,TRUE,"RESUMEN"}</definedName>
    <definedName name="Borrar0" localSheetId="22" hidden="1">{#N/A,#N/A,TRUE,"INGENIERIA";#N/A,#N/A,TRUE,"COMPRAS";#N/A,#N/A,TRUE,"DIRECCION";#N/A,#N/A,TRUE,"RESUMEN"}</definedName>
    <definedName name="Borrar0" localSheetId="16" hidden="1">{#N/A,#N/A,TRUE,"INGENIERIA";#N/A,#N/A,TRUE,"COMPRAS";#N/A,#N/A,TRUE,"DIRECCION";#N/A,#N/A,TRUE,"RESUMEN"}</definedName>
    <definedName name="Borrar0" localSheetId="23" hidden="1">{#N/A,#N/A,TRUE,"INGENIERIA";#N/A,#N/A,TRUE,"COMPRAS";#N/A,#N/A,TRUE,"DIRECCION";#N/A,#N/A,TRUE,"RESUMEN"}</definedName>
    <definedName name="Borrar0" hidden="1">{#N/A,#N/A,TRUE,"INGENIERIA";#N/A,#N/A,TRUE,"COMPRAS";#N/A,#N/A,TRUE,"DIRECCION";#N/A,#N/A,TRUE,"RESUMEN"}</definedName>
    <definedName name="Borrar1" localSheetId="19" hidden="1">{#N/A,#N/A,TRUE,"INGENIERIA";#N/A,#N/A,TRUE,"COMPRAS";#N/A,#N/A,TRUE,"DIRECCION";#N/A,#N/A,TRUE,"RESUMEN"}</definedName>
    <definedName name="Borrar1" localSheetId="22" hidden="1">{#N/A,#N/A,TRUE,"INGENIERIA";#N/A,#N/A,TRUE,"COMPRAS";#N/A,#N/A,TRUE,"DIRECCION";#N/A,#N/A,TRUE,"RESUMEN"}</definedName>
    <definedName name="Borrar1" localSheetId="16" hidden="1">{#N/A,#N/A,TRUE,"INGENIERIA";#N/A,#N/A,TRUE,"COMPRAS";#N/A,#N/A,TRUE,"DIRECCION";#N/A,#N/A,TRUE,"RESUMEN"}</definedName>
    <definedName name="Borrar1" localSheetId="23" hidden="1">{#N/A,#N/A,TRUE,"INGENIERIA";#N/A,#N/A,TRUE,"COMPRAS";#N/A,#N/A,TRUE,"DIRECCION";#N/A,#N/A,TRUE,"RESUMEN"}</definedName>
    <definedName name="Borrar1" hidden="1">{#N/A,#N/A,TRUE,"INGENIERIA";#N/A,#N/A,TRUE,"COMPRAS";#N/A,#N/A,TRUE,"DIRECCION";#N/A,#N/A,TRUE,"RESUMEN"}</definedName>
    <definedName name="Borrar2" localSheetId="19" hidden="1">{#N/A,#N/A,TRUE,"1842CWN0"}</definedName>
    <definedName name="Borrar2" localSheetId="22" hidden="1">{#N/A,#N/A,TRUE,"1842CWN0"}</definedName>
    <definedName name="Borrar2" localSheetId="16" hidden="1">{#N/A,#N/A,TRUE,"1842CWN0"}</definedName>
    <definedName name="Borrar2" localSheetId="23" hidden="1">{#N/A,#N/A,TRUE,"1842CWN0"}</definedName>
    <definedName name="Borrar2" hidden="1">{#N/A,#N/A,TRUE,"1842CWN0"}</definedName>
    <definedName name="Borrar3" localSheetId="19" hidden="1">{#N/A,#N/A,TRUE,"1842CWN0"}</definedName>
    <definedName name="Borrar3" localSheetId="22" hidden="1">{#N/A,#N/A,TRUE,"1842CWN0"}</definedName>
    <definedName name="Borrar3" localSheetId="16" hidden="1">{#N/A,#N/A,TRUE,"1842CWN0"}</definedName>
    <definedName name="Borrar3" localSheetId="23" hidden="1">{#N/A,#N/A,TRUE,"1842CWN0"}</definedName>
    <definedName name="Borrar3" hidden="1">{#N/A,#N/A,TRUE,"1842CWN0"}</definedName>
    <definedName name="Borrar4" hidden="1">#REF!</definedName>
    <definedName name="Borrar5" localSheetId="19" hidden="1">{#N/A,#N/A,TRUE,"1842CWN0"}</definedName>
    <definedName name="Borrar5" localSheetId="22" hidden="1">{#N/A,#N/A,TRUE,"1842CWN0"}</definedName>
    <definedName name="Borrar5" localSheetId="16" hidden="1">{#N/A,#N/A,TRUE,"1842CWN0"}</definedName>
    <definedName name="Borrar5" localSheetId="23" hidden="1">{#N/A,#N/A,TRUE,"1842CWN0"}</definedName>
    <definedName name="Borrar5" hidden="1">{#N/A,#N/A,TRUE,"1842CWN0"}</definedName>
    <definedName name="Borrar6" hidden="1">#REF!</definedName>
    <definedName name="Borrar7" hidden="1">#REF!</definedName>
    <definedName name="Borrar8" localSheetId="22" hidden="1">#REF!</definedName>
    <definedName name="Borrar8" hidden="1">#REF!</definedName>
    <definedName name="Borrar9" localSheetId="22" hidden="1">#REF!</definedName>
    <definedName name="Borrar9" hidden="1">#REF!</definedName>
    <definedName name="BOX__" hidden="1">#REF!</definedName>
    <definedName name="BOYACÁ">#REF!</definedName>
    <definedName name="BPP_">#REF!</definedName>
    <definedName name="BQ">#REF!</definedName>
    <definedName name="BUEEP">#REF!</definedName>
    <definedName name="C._C.">#REF!</definedName>
    <definedName name="CA" hidden="1">#REF!</definedName>
    <definedName name="CABCELAR" localSheetId="4" hidden="1">{#N/A,#N/A,FALSE,"Costos Productos 6A";#N/A,#N/A,FALSE,"Costo Unitario Total H-94-12"}</definedName>
    <definedName name="CABCELAR" localSheetId="19" hidden="1">{#N/A,#N/A,FALSE,"Costos Productos 6A";#N/A,#N/A,FALSE,"Costo Unitario Total H-94-12"}</definedName>
    <definedName name="CABCELAR" localSheetId="16" hidden="1">{#N/A,#N/A,FALSE,"Costos Productos 6A";#N/A,#N/A,FALSE,"Costo Unitario Total H-94-12"}</definedName>
    <definedName name="CABCELAR" localSheetId="3" hidden="1">{#N/A,#N/A,FALSE,"Costos Productos 6A";#N/A,#N/A,FALSE,"Costo Unitario Total H-94-12"}</definedName>
    <definedName name="CABCELAR" localSheetId="15" hidden="1">{#N/A,#N/A,FALSE,"Costos Productos 6A";#N/A,#N/A,FALSE,"Costo Unitario Total H-94-12"}</definedName>
    <definedName name="CABCELAR" localSheetId="23" hidden="1">{#N/A,#N/A,FALSE,"Costos Productos 6A";#N/A,#N/A,FALSE,"Costo Unitario Total H-94-12"}</definedName>
    <definedName name="CABCELAR" localSheetId="0" hidden="1">{#N/A,#N/A,FALSE,"Costos Productos 6A";#N/A,#N/A,FALSE,"Costo Unitario Total H-94-12"}</definedName>
    <definedName name="CABCELAR" hidden="1">{#N/A,#N/A,FALSE,"Costos Productos 6A";#N/A,#N/A,FALSE,"Costo Unitario Total H-94-12"}</definedName>
    <definedName name="CABLE" localSheetId="12">Listas!$AC$2:$AC$69</definedName>
    <definedName name="CABLE" localSheetId="17">Listas!$AC$2:$AC$69</definedName>
    <definedName name="CABLE">Listas!$AC$2:$AC$69</definedName>
    <definedName name="CABLES" localSheetId="0">#REF!</definedName>
    <definedName name="CABLES">[2]CABLES!$A$7:$R$152</definedName>
    <definedName name="CAC" hidden="1">{"krl1",#N/A,FALSE,"kr";"krl2",#N/A,FALSE,"kr";"compara",#N/A,FALSE,"kr";"desconp1",#N/A,FALSE,"kr";"desconp12",#N/A,FALSE,"kr";"krnp1",#N/A,FALSE,"kr";"krnp2",#N/A,FALSE,"kr";"krp12avg",#N/A,FALSE,"kr";"krp1avg",#N/A,FALSE,"kr"}</definedName>
    <definedName name="calc_program_note_001">#REF!</definedName>
    <definedName name="calc_user_note_001">#REF!</definedName>
    <definedName name="CALDAS">#REF!</definedName>
    <definedName name="calib_range_max_001">#REF!</definedName>
    <definedName name="calib_range_min_001">#REF!</definedName>
    <definedName name="calib_range_uflg_max_001">#REF!</definedName>
    <definedName name="calib_range_uflg_min_001">#REF!</definedName>
    <definedName name="calib_range_uom_max_001">#REF!</definedName>
    <definedName name="calib_range_uom_min_001">#REF!</definedName>
    <definedName name="CALIDAD3" hidden="1">{#N/A,#N/A,FALSE,"Costos Productos 6A";#N/A,#N/A,FALSE,"Costo Unitario Total H-94-12"}</definedName>
    <definedName name="call" hidden="1">{#N/A,#N/A,FALSE,"3mthsum.xls";#N/A,#N/A,FALSE,"fcstmth1.xls";#N/A,#N/A,FALSE,"fcstmth2.xls";#N/A,#N/A,FALSE,"fcstmth3.xls";#N/A,#N/A,FALSE,"cntsprt.xls";#N/A,#N/A,FALSE,"fldind.xls";#N/A,#N/A,FALSE,"epo.xls";#N/A,#N/A,FALSE,"tech.xls";#N/A,#N/A,FALSE,"train.xls";#N/A,#N/A,FALSE,"realest.xls";#N/A,#N/A,FALSE,"cfs.xls"}</definedName>
    <definedName name="CALRGELEC" localSheetId="5">CALCULO #REF!</definedName>
    <definedName name="CALRGELEC" localSheetId="19">CALCULO #REF!</definedName>
    <definedName name="CALRGELEC" localSheetId="16">CALCULO #REF!</definedName>
    <definedName name="CALRGELEC" localSheetId="13">CALCULO #REF!</definedName>
    <definedName name="CALRGELEC" localSheetId="15">CALCULO #REF!</definedName>
    <definedName name="CALRGELEC" localSheetId="23">CALCULO #REF!</definedName>
    <definedName name="CALRGELEC" localSheetId="0">CALCULO #REF!</definedName>
    <definedName name="CALRGELEC" localSheetId="1">CALCULO #REF!</definedName>
    <definedName name="CALRGELEC">CALCULO #REF!</definedName>
    <definedName name="CAMPO">#REF!</definedName>
    <definedName name="cap">#REF!</definedName>
    <definedName name="CAPAC._HSE">#REF!</definedName>
    <definedName name="capacitance_001">#REF!</definedName>
    <definedName name="capacitance_uom_001">#REF!</definedName>
    <definedName name="CAQUETÁ">#REF!</definedName>
    <definedName name="Cargar_Automaticamente">#REF!</definedName>
    <definedName name="Cargas" localSheetId="5">Listas!$U$1:$U$4</definedName>
    <definedName name="Cargas" localSheetId="10">Listas!$U$1:$U$4</definedName>
    <definedName name="Cargas" localSheetId="12">Listas!$U$1:$U$4</definedName>
    <definedName name="CARLOSC" hidden="1">{"krl1",#N/A,FALSE,"kr";"krl2",#N/A,FALSE,"kr";"compara",#N/A,FALSE,"kr";"desconp1",#N/A,FALSE,"kr";"desconp12",#N/A,FALSE,"kr";"krnp1",#N/A,FALSE,"kr";"krnp2",#N/A,FALSE,"kr";"krp12avg",#N/A,FALSE,"kr";"krp1avg",#N/A,FALSE,"kr"}</definedName>
    <definedName name="CART" hidden="1">{#N/A,#N/A,FALSE,"DMC schedule";#N/A,#N/A,FALSE,"DMC_THC Revenue";#N/A,#N/A,FALSE,"Personnel plan";#N/A,#N/A,FALSE,"Capex HW+SW";#N/A,#N/A,FALSE,"P&amp;L"}</definedName>
    <definedName name="CASANARE">#REF!</definedName>
    <definedName name="case_id_001">#REF!</definedName>
    <definedName name="cash" hidden="1">{#N/A,#N/A,FALSE,"Ppto. Inv. por Proyectos";#N/A,#N/A,FALSE,"Ppto. Gastos por Asociación";#N/A,#N/A,FALSE,"Cravo Norte";#N/A,#N/A,FALSE,"Upía";#N/A,#N/A,FALSE,"CPR Espinal";#N/A,#N/A,FALSE,"Magangué";#N/A,#N/A,FALSE,"Casanare";#N/A,#N/A,FALSE,"Estero";#N/A,#N/A,FALSE,"Garcero";#N/A,#N/A,FALSE,"Orocué";#N/A,#N/A,FALSE,"Corocora";#N/A,#N/A,FALSE,"CPR Santana";#N/A,#N/A,FALSE,"Consolidado"}</definedName>
    <definedName name="CASO">"XX"</definedName>
    <definedName name="caso2" hidden="1">#REF!</definedName>
    <definedName name="CAUCA">#REF!</definedName>
    <definedName name="CBaya">#REF!</definedName>
    <definedName name="CBcom">#REF!</definedName>
    <definedName name="CBvas">#REF!</definedName>
    <definedName name="CBWorkbookPriority" localSheetId="19" hidden="1">-562754140</definedName>
    <definedName name="CBWorkbookPriority" localSheetId="22" hidden="1">-562754140</definedName>
    <definedName name="CBWorkbookPriority" localSheetId="16" hidden="1">-562754140</definedName>
    <definedName name="CBWorkbookPriority" localSheetId="23" hidden="1">-562754140</definedName>
    <definedName name="CBWorkbookPriority" hidden="1">-1385358669</definedName>
    <definedName name="CBWorkbookPriority_1" hidden="1">-1385358669</definedName>
    <definedName name="CCC" hidden="1">{#N/A,#N/A,FALSE,"Costos Productos 6A";#N/A,#N/A,FALSE,"Costo Unitario Total H-94-12"}</definedName>
    <definedName name="cccc" hidden="1">#REF!</definedName>
    <definedName name="CCCCC" hidden="1">{"krl1",#N/A,FALSE,"kr";"krl2",#N/A,FALSE,"kr";"compara",#N/A,FALSE,"kr";"desconp1",#N/A,FALSE,"kr";"desconp12",#N/A,FALSE,"kr";"krnp1",#N/A,FALSE,"kr";"krnp2",#N/A,FALSE,"kr";"krp12avg",#N/A,FALSE,"kr";"krp1avg",#N/A,FALSE,"kr"}</definedName>
    <definedName name="ccceh">#REF!</definedName>
    <definedName name="cccel">#REF!</definedName>
    <definedName name="cccem">#REF!</definedName>
    <definedName name="cccet">#REF!</definedName>
    <definedName name="cccmh">#REF!</definedName>
    <definedName name="cccml">#REF!</definedName>
    <definedName name="cccmm">#REF!</definedName>
    <definedName name="cccmt">#REF!</definedName>
    <definedName name="cctfh">#REF!</definedName>
    <definedName name="cctfl">#REF!</definedName>
    <definedName name="cctfm">#REF!</definedName>
    <definedName name="cctft">#REF!</definedName>
    <definedName name="ccttt">#REF!</definedName>
    <definedName name="CCX_">#REF!</definedName>
    <definedName name="CCXE_">#REF!</definedName>
    <definedName name="cdfgrtfd" localSheetId="19" hidden="1">#REF!</definedName>
    <definedName name="cdfgrtfd" localSheetId="16" hidden="1">#REF!</definedName>
    <definedName name="cdfgrtfd" localSheetId="11" hidden="1">#REF!</definedName>
    <definedName name="cdfgrtfd" localSheetId="13" hidden="1">#REF!</definedName>
    <definedName name="cdfgrtfd" localSheetId="14" hidden="1">#REF!</definedName>
    <definedName name="cdfgrtfd" localSheetId="15" hidden="1">#REF!</definedName>
    <definedName name="cdfgrtfd" localSheetId="23" hidden="1">#REF!</definedName>
    <definedName name="cdfgrtfd" hidden="1">#REF!</definedName>
    <definedName name="CDNIP">#REF!</definedName>
    <definedName name="cell_001">#REF!</definedName>
    <definedName name="CESAR" localSheetId="4" hidden="1">{#N/A,#N/A,FALSE,"Costos Productos 6A";#N/A,#N/A,FALSE,"Costo Unitario Total H-94-12"}</definedName>
    <definedName name="CESAR" localSheetId="19" hidden="1">{#N/A,#N/A,FALSE,"Costos Productos 6A";#N/A,#N/A,FALSE,"Costo Unitario Total H-94-12"}</definedName>
    <definedName name="CESAR" localSheetId="16" hidden="1">{#N/A,#N/A,FALSE,"Costos Productos 6A";#N/A,#N/A,FALSE,"Costo Unitario Total H-94-12"}</definedName>
    <definedName name="CESAR" localSheetId="3" hidden="1">{#N/A,#N/A,FALSE,"Costos Productos 6A";#N/A,#N/A,FALSE,"Costo Unitario Total H-94-12"}</definedName>
    <definedName name="CESAR" localSheetId="15" hidden="1">{#N/A,#N/A,FALSE,"Costos Productos 6A";#N/A,#N/A,FALSE,"Costo Unitario Total H-94-12"}</definedName>
    <definedName name="CESAR" localSheetId="23" hidden="1">{#N/A,#N/A,FALSE,"Costos Productos 6A";#N/A,#N/A,FALSE,"Costo Unitario Total H-94-12"}</definedName>
    <definedName name="CESAR" localSheetId="0" hidden="1">{#N/A,#N/A,FALSE,"Costos Productos 6A";#N/A,#N/A,FALSE,"Costo Unitario Total H-94-12"}</definedName>
    <definedName name="CESAR" hidden="1">{#N/A,#N/A,FALSE,"Costos Productos 6A";#N/A,#N/A,FALSE,"Costo Unitario Total H-94-12"}</definedName>
    <definedName name="CFD" hidden="1">{#N/A,#N/A,FALSE,"Cravo Norte";#N/A,#N/A,FALSE,"Upía";#N/A,#N/A,FALSE,"CPR Espinal";#N/A,#N/A,FALSE,"Magangué";#N/A,#N/A,FALSE,"Casanare";#N/A,#N/A,FALSE,"Estero";#N/A,#N/A,FALSE,"Garcero";#N/A,#N/A,FALSE,"Orocué";#N/A,#N/A,FALSE,"Corocora";#N/A,#N/A,FALSE,"CPR Santana"}</definedName>
    <definedName name="CGDI01">#REF!</definedName>
    <definedName name="CGDI02">#REF!</definedName>
    <definedName name="CGDI03">#REF!</definedName>
    <definedName name="CGDI04">#REF!</definedName>
    <definedName name="CGDI05">#REF!</definedName>
    <definedName name="CGDI06">#REF!</definedName>
    <definedName name="CGDI07">#REF!</definedName>
    <definedName name="CGDI08">#REF!</definedName>
    <definedName name="CGEX01">#REF!</definedName>
    <definedName name="CGEX02">#REF!</definedName>
    <definedName name="CGEX031">#REF!</definedName>
    <definedName name="CGEX04">#REF!</definedName>
    <definedName name="CGFI011">#REF!</definedName>
    <definedName name="CGFI012">#REF!</definedName>
    <definedName name="CGFI021">#REF!</definedName>
    <definedName name="CGFI022">#REF!</definedName>
    <definedName name="CGFI023">#REF!</definedName>
    <definedName name="CGFI024">#REF!</definedName>
    <definedName name="CGFI031">#REF!</definedName>
    <definedName name="CGFI032">#REF!</definedName>
    <definedName name="CGFI0331">#REF!</definedName>
    <definedName name="CGFI0332">#REF!</definedName>
    <definedName name="CGFI0333">#REF!</definedName>
    <definedName name="CGFI0334">#REF!</definedName>
    <definedName name="CGFI0335">#REF!</definedName>
    <definedName name="CGFI0341">#REF!</definedName>
    <definedName name="CGFI0343">#REF!</definedName>
    <definedName name="CGFI0344">#REF!</definedName>
    <definedName name="CGPR01">#REF!</definedName>
    <definedName name="CGPR021">#REF!</definedName>
    <definedName name="CGPR022">#REF!</definedName>
    <definedName name="CGPR023">#REF!</definedName>
    <definedName name="CGPR024">#REF!</definedName>
    <definedName name="CGPR031">#REF!</definedName>
    <definedName name="CGPR032">#REF!</definedName>
    <definedName name="CGPR0331">#REF!</definedName>
    <definedName name="CGPR0332">#REF!</definedName>
    <definedName name="CGPR0333">#REF!</definedName>
    <definedName name="CGPR041">#REF!</definedName>
    <definedName name="CGPR042">#REF!</definedName>
    <definedName name="CGPR043">#REF!</definedName>
    <definedName name="CGPR051">#REF!</definedName>
    <definedName name="CGPR052">#REF!</definedName>
    <definedName name="CGPR0531">#REF!</definedName>
    <definedName name="CGPR0532">#REF!</definedName>
    <definedName name="CGPR0533">#REF!</definedName>
    <definedName name="CGPR0534">#REF!</definedName>
    <definedName name="CGPR0541">#REF!</definedName>
    <definedName name="CGPR0542">#REF!</definedName>
    <definedName name="CGPR0543">#REF!</definedName>
    <definedName name="CGPR061">#REF!</definedName>
    <definedName name="CGPR062">#REF!</definedName>
    <definedName name="CGPR0621">#REF!</definedName>
    <definedName name="CGPR0622">#REF!</definedName>
    <definedName name="CGPR0631">#REF!</definedName>
    <definedName name="CGPR0632">#REF!</definedName>
    <definedName name="CGPR0633">#REF!</definedName>
    <definedName name="CGPR0641">#REF!</definedName>
    <definedName name="CGPR0642">#REF!</definedName>
    <definedName name="CGPR0643">#REF!</definedName>
    <definedName name="CGRF01">#REF!</definedName>
    <definedName name="CGRF02">#REF!</definedName>
    <definedName name="CGRF031">#REF!</definedName>
    <definedName name="CGRF032">#REF!</definedName>
    <definedName name="CGRF0331">#REF!</definedName>
    <definedName name="CGRF0332">#REF!</definedName>
    <definedName name="CGRF0333">#REF!</definedName>
    <definedName name="CGRF0334">#REF!</definedName>
    <definedName name="CGRF0335">#REF!</definedName>
    <definedName name="CGRF0336">#REF!</definedName>
    <definedName name="CGRF0337">#REF!</definedName>
    <definedName name="CGRF0338">#REF!</definedName>
    <definedName name="CGRF0341">#REF!</definedName>
    <definedName name="CGRF0342">#REF!</definedName>
    <definedName name="CGRF0343">#REF!</definedName>
    <definedName name="CGRF041">#REF!</definedName>
    <definedName name="CGRF042">#REF!</definedName>
    <definedName name="CGRF0431">#REF!</definedName>
    <definedName name="CGRF0432">#REF!</definedName>
    <definedName name="CGRF0433">#REF!</definedName>
    <definedName name="CGRF0441">#REF!</definedName>
    <definedName name="CGRF0442">#REF!</definedName>
    <definedName name="CGRF0443">#REF!</definedName>
    <definedName name="CGSM01">#REF!</definedName>
    <definedName name="CGSM02">#REF!</definedName>
    <definedName name="CGSM03">#REF!</definedName>
    <definedName name="CGSM04">#REF!</definedName>
    <definedName name="CGSM05">#REF!</definedName>
    <definedName name="CGSO011">#REF!</definedName>
    <definedName name="CGSO012">#REF!</definedName>
    <definedName name="CGSO013">#REF!</definedName>
    <definedName name="CGSO014">#REF!</definedName>
    <definedName name="CGSO02">#REF!</definedName>
    <definedName name="CGSO031">#REF!</definedName>
    <definedName name="CGSO032">#REF!</definedName>
    <definedName name="CGSO033">#REF!</definedName>
    <definedName name="CGSO034">#REF!</definedName>
    <definedName name="CGSO041">#REF!</definedName>
    <definedName name="CGSO042">#REF!</definedName>
    <definedName name="CGSO043">#REF!</definedName>
    <definedName name="CGSO044">#REF!</definedName>
    <definedName name="CGSO051">#REF!</definedName>
    <definedName name="CGSO052">#REF!</definedName>
    <definedName name="CGSO053">#REF!</definedName>
    <definedName name="CGSO054">#REF!</definedName>
    <definedName name="CGSO055">#REF!</definedName>
    <definedName name="CGSO061">#REF!</definedName>
    <definedName name="CGSO062">#REF!</definedName>
    <definedName name="CGSO063">#REF!</definedName>
    <definedName name="CGSO064">#REF!</definedName>
    <definedName name="CGTR011">#REF!</definedName>
    <definedName name="CGTR012">#REF!</definedName>
    <definedName name="CGTR021">#REF!</definedName>
    <definedName name="CGTR022">#REF!</definedName>
    <definedName name="CGTR023">#REF!</definedName>
    <definedName name="CGTR031">#REF!</definedName>
    <definedName name="CGTR032">#REF!</definedName>
    <definedName name="CGTR033">#REF!</definedName>
    <definedName name="CGTR034">#REF!</definedName>
    <definedName name="CGTR035">#REF!</definedName>
    <definedName name="CGTR036">#REF!</definedName>
    <definedName name="CGTR037">#REF!</definedName>
    <definedName name="CGTR038">#REF!</definedName>
    <definedName name="CGTR039">#REF!</definedName>
    <definedName name="CGTR041">#REF!</definedName>
    <definedName name="CGTR042">#REF!</definedName>
    <definedName name="CGTR043">#REF!</definedName>
    <definedName name="CGTR044">#REF!</definedName>
    <definedName name="CGTR051">#REF!</definedName>
    <definedName name="Ch">#REF!</definedName>
    <definedName name="ch_fm_bleed_hole_diam_uid_001">#REF!</definedName>
    <definedName name="ch_fm_meter_type_001">#REF!</definedName>
    <definedName name="ch_fm_orif_diam_uid_001">#REF!</definedName>
    <definedName name="ch_pd_fluid_phase_001">#REF!</definedName>
    <definedName name="CHACA" localSheetId="22" hidden="1">#REF!</definedName>
    <definedName name="CHACA" localSheetId="23" hidden="1">#REF!</definedName>
    <definedName name="CHACA" hidden="1">#REF!</definedName>
    <definedName name="chg_date_001">#REF!</definedName>
    <definedName name="chg_num_001">#REF!</definedName>
    <definedName name="chg_status_001">#REF!</definedName>
    <definedName name="CHIMITA_1">#REF!</definedName>
    <definedName name="CHIMITA_3">#REF!</definedName>
    <definedName name="CHOCÓ">#REF!</definedName>
    <definedName name="circuit_001">#REF!</definedName>
    <definedName name="circuit_id_001">#REF!</definedName>
    <definedName name="civ" hidden="1">{#N/A,#N/A,TRUE,"1842CWN0"}</definedName>
    <definedName name="cjsa" localSheetId="19" hidden="1">#REF!</definedName>
    <definedName name="cjsa" localSheetId="16" hidden="1">#REF!</definedName>
    <definedName name="cjsa" localSheetId="11" hidden="1">#REF!</definedName>
    <definedName name="cjsa" localSheetId="13" hidden="1">#REF!</definedName>
    <definedName name="cjsa" localSheetId="14" hidden="1">#REF!</definedName>
    <definedName name="cjsa" localSheetId="15" hidden="1">#REF!</definedName>
    <definedName name="cjsa" localSheetId="23" hidden="1">#REF!</definedName>
    <definedName name="cjsa" hidden="1">#REF!</definedName>
    <definedName name="claves">#REF!</definedName>
    <definedName name="CLE_">#REF!</definedName>
    <definedName name="cmpnt_certif_id_001">#REF!</definedName>
    <definedName name="cmpnt_critical_id_001">#REF!</definedName>
    <definedName name="cmpnt_find_rem_001">#REF!</definedName>
    <definedName name="cmpnt_func_type_id_001">#REF!</definedName>
    <definedName name="cmpnt_id_001">#REF!</definedName>
    <definedName name="cmpnt_is_circuite_type_id_001">#REF!</definedName>
    <definedName name="cmpnt_loc_id_001">#REF!</definedName>
    <definedName name="cmpnt_mfr_id_001">#REF!</definedName>
    <definedName name="cmpnt_mod_id_001">#REF!</definedName>
    <definedName name="cmpnt_name">#REF!</definedName>
    <definedName name="cmpnt_name_001">#REF!</definedName>
    <definedName name="cmpnt_serv">#REF!</definedName>
    <definedName name="cmpnt_serv_001">#REF!</definedName>
    <definedName name="cmpnt_sys_io_type_id_001">#REF!</definedName>
    <definedName name="cmpnt_type_id_001">#REF!</definedName>
    <definedName name="coceh">#REF!</definedName>
    <definedName name="cocel">#REF!</definedName>
    <definedName name="cocem">#REF!</definedName>
    <definedName name="cocet">#REF!</definedName>
    <definedName name="cocmh">#REF!</definedName>
    <definedName name="cocml">#REF!</definedName>
    <definedName name="cocmm">#REF!</definedName>
    <definedName name="cocmt">#REF!</definedName>
    <definedName name="CodActEco">#REF!</definedName>
    <definedName name="Code" hidden="1">#REF!</definedName>
    <definedName name="CODIGO">#REF!</definedName>
    <definedName name="COEB_">#REF!</definedName>
    <definedName name="COK_">#REF!</definedName>
    <definedName name="col" hidden="1">{#N/A,#N/A,FALSE,"DMC schedule";#N/A,#N/A,FALSE,"DMC_THC Revenue";#N/A,#N/A,FALSE,"Personnel plan";#N/A,#N/A,FALSE,"Capex HW+SW";#N/A,#N/A,FALSE,"P&amp;L"}</definedName>
    <definedName name="colcibpql_">#REF!</definedName>
    <definedName name="colcibpqs_">#REF!</definedName>
    <definedName name="collec" hidden="1">{#N/A,#N/A,FALSE,"DMC schedule";#N/A,#N/A,FALSE,"DMC_THC Revenue";#N/A,#N/A,FALSE,"Personnel plan";#N/A,#N/A,FALSE,"Capex HW+SW";#N/A,#N/A,FALSE,"P&amp;L"}</definedName>
    <definedName name="Com">#REF!</definedName>
    <definedName name="comp_flow_uom_001">#REF!</definedName>
    <definedName name="comp_pd_vap_press_uid_001">#REF!</definedName>
    <definedName name="comp_press_uom_001">#REF!</definedName>
    <definedName name="CONCIC" hidden="1">{#N/A,#N/A,FALSE,"DMC schedule";#N/A,#N/A,FALSE,"DMC_THC Revenue";#N/A,#N/A,FALSE,"Personnel plan";#N/A,#N/A,FALSE,"Capex HW+SW";#N/A,#N/A,FALSE,"P&amp;L"}</definedName>
    <definedName name="CONDUCTORES_CABLE">Listas!$L$2:$L$17</definedName>
    <definedName name="CONSOLIDADO">#REF!</definedName>
    <definedName name="CONSOLIDADO1">#REF!</definedName>
    <definedName name="constantekf" localSheetId="15">#REF!</definedName>
    <definedName name="constantekf" localSheetId="23">#REF!</definedName>
    <definedName name="constantekf">#REF!</definedName>
    <definedName name="CONSTRUCCIÓN_Y_O_MONTAJE">#REF!</definedName>
    <definedName name="consulta_mes" localSheetId="4">#REF!</definedName>
    <definedName name="consulta_mes" localSheetId="19">'Demanda Trafo A'!consulta_mes</definedName>
    <definedName name="consulta_mes" localSheetId="22">factores!consulta_mes</definedName>
    <definedName name="consulta_mes" localSheetId="16">'H1-CUADRO DE CARGAS'!consulta_mes</definedName>
    <definedName name="consulta_mes" localSheetId="3">#REF!</definedName>
    <definedName name="consulta_mes" localSheetId="23">'Tablas Cables'!consulta_mes</definedName>
    <definedName name="consulta_mes">[0]!consulta_mes</definedName>
    <definedName name="consulta_mes2" localSheetId="4">'C.C. '!consulta_mes2</definedName>
    <definedName name="consulta_mes2" localSheetId="19">'Demanda Trafo A'!consulta_mes2</definedName>
    <definedName name="consulta_mes2" localSheetId="22">factores!consulta_mes2</definedName>
    <definedName name="consulta_mes2" localSheetId="16">'H1-CUADRO DE CARGAS'!consulta_mes2</definedName>
    <definedName name="consulta_mes2" localSheetId="3">'PORTADA '!consulta_mes2</definedName>
    <definedName name="consulta_mes2" localSheetId="23">'Tablas Cables'!consulta_mes2</definedName>
    <definedName name="consulta_mes2">[0]!consulta_mes2</definedName>
    <definedName name="CONT">#REF!</definedName>
    <definedName name="CONTABLE" localSheetId="4" hidden="1">{#N/A,#N/A,FALSE,"CIBHA05A";#N/A,#N/A,FALSE,"CIBHA05B"}</definedName>
    <definedName name="CONTABLE" localSheetId="19" hidden="1">{#N/A,#N/A,FALSE,"CIBHA05A";#N/A,#N/A,FALSE,"CIBHA05B"}</definedName>
    <definedName name="CONTABLE" localSheetId="16" hidden="1">{#N/A,#N/A,FALSE,"CIBHA05A";#N/A,#N/A,FALSE,"CIBHA05B"}</definedName>
    <definedName name="CONTABLE" localSheetId="3" hidden="1">{#N/A,#N/A,FALSE,"CIBHA05A";#N/A,#N/A,FALSE,"CIBHA05B"}</definedName>
    <definedName name="CONTABLE" localSheetId="15" hidden="1">{#N/A,#N/A,FALSE,"CIBHA05A";#N/A,#N/A,FALSE,"CIBHA05B"}</definedName>
    <definedName name="CONTABLE" localSheetId="23" hidden="1">{#N/A,#N/A,FALSE,"CIBHA05A";#N/A,#N/A,FALSE,"CIBHA05B"}</definedName>
    <definedName name="CONTABLE" localSheetId="0" hidden="1">{#N/A,#N/A,FALSE,"CIBHA05A";#N/A,#N/A,FALSE,"CIBHA05B"}</definedName>
    <definedName name="CONTABLE" hidden="1">{#N/A,#N/A,FALSE,"CIBHA05A";#N/A,#N/A,FALSE,"CIBHA05B"}</definedName>
    <definedName name="CONTABLES" localSheetId="4" hidden="1">{#N/A,#N/A,FALSE,"Costos Productos 6A";#N/A,#N/A,FALSE,"Costo Unitario Total H-94-12"}</definedName>
    <definedName name="CONTABLES" localSheetId="19" hidden="1">{#N/A,#N/A,FALSE,"Costos Productos 6A";#N/A,#N/A,FALSE,"Costo Unitario Total H-94-12"}</definedName>
    <definedName name="CONTABLES" localSheetId="16" hidden="1">{#N/A,#N/A,FALSE,"Costos Productos 6A";#N/A,#N/A,FALSE,"Costo Unitario Total H-94-12"}</definedName>
    <definedName name="CONTABLES" localSheetId="3" hidden="1">{#N/A,#N/A,FALSE,"Costos Productos 6A";#N/A,#N/A,FALSE,"Costo Unitario Total H-94-12"}</definedName>
    <definedName name="CONTABLES" localSheetId="15" hidden="1">{#N/A,#N/A,FALSE,"Costos Productos 6A";#N/A,#N/A,FALSE,"Costo Unitario Total H-94-12"}</definedName>
    <definedName name="CONTABLES" localSheetId="23" hidden="1">{#N/A,#N/A,FALSE,"Costos Productos 6A";#N/A,#N/A,FALSE,"Costo Unitario Total H-94-12"}</definedName>
    <definedName name="CONTABLES" localSheetId="0" hidden="1">{#N/A,#N/A,FALSE,"Costos Productos 6A";#N/A,#N/A,FALSE,"Costo Unitario Total H-94-12"}</definedName>
    <definedName name="CONTABLES" hidden="1">{#N/A,#N/A,FALSE,"Costos Productos 6A";#N/A,#N/A,FALSE,"Costo Unitario Total H-94-12"}</definedName>
    <definedName name="Contratante">#REF!</definedName>
    <definedName name="CONTRATO">#REF!</definedName>
    <definedName name="Convencionales" localSheetId="0">#REF!</definedName>
    <definedName name="Convencionales">[3]Listas!$E$3:$E$21</definedName>
    <definedName name="Convencionales_1Ø" localSheetId="15">#REF!</definedName>
    <definedName name="Convencionales_1Ø" localSheetId="23">#REF!</definedName>
    <definedName name="Convencionales_1Ø">#REF!</definedName>
    <definedName name="Convencionales_3Ø" localSheetId="15">#REF!</definedName>
    <definedName name="Convencionales_3Ø" localSheetId="23">#REF!</definedName>
    <definedName name="Convencionales_3Ø">#REF!</definedName>
    <definedName name="Coordinacion" localSheetId="0">#REF!</definedName>
    <definedName name="Coordinacion">[4]Listas!$I$2:$I$3</definedName>
    <definedName name="COPA_">#REF!</definedName>
    <definedName name="CÓRDOBA">#REF!</definedName>
    <definedName name="CORE">Listas!$Z$2:$Z$5</definedName>
    <definedName name="cost04" localSheetId="4" hidden="1">{#N/A,#N/A,FALSE,"Costos Productos 6A";#N/A,#N/A,FALSE,"Costo Unitario Total H-94-12"}</definedName>
    <definedName name="cost04" localSheetId="19" hidden="1">{#N/A,#N/A,FALSE,"Costos Productos 6A";#N/A,#N/A,FALSE,"Costo Unitario Total H-94-12"}</definedName>
    <definedName name="cost04" localSheetId="16" hidden="1">{#N/A,#N/A,FALSE,"Costos Productos 6A";#N/A,#N/A,FALSE,"Costo Unitario Total H-94-12"}</definedName>
    <definedName name="cost04" localSheetId="3" hidden="1">{#N/A,#N/A,FALSE,"Costos Productos 6A";#N/A,#N/A,FALSE,"Costo Unitario Total H-94-12"}</definedName>
    <definedName name="cost04" localSheetId="15" hidden="1">{#N/A,#N/A,FALSE,"Costos Productos 6A";#N/A,#N/A,FALSE,"Costo Unitario Total H-94-12"}</definedName>
    <definedName name="cost04" localSheetId="23" hidden="1">{#N/A,#N/A,FALSE,"Costos Productos 6A";#N/A,#N/A,FALSE,"Costo Unitario Total H-94-12"}</definedName>
    <definedName name="cost04" localSheetId="0" hidden="1">{#N/A,#N/A,FALSE,"Costos Productos 6A";#N/A,#N/A,FALSE,"Costo Unitario Total H-94-12"}</definedName>
    <definedName name="cost04" hidden="1">{#N/A,#N/A,FALSE,"Costos Productos 6A";#N/A,#N/A,FALSE,"Costo Unitario Total H-94-12"}</definedName>
    <definedName name="COSTCONTAB" localSheetId="4" hidden="1">{#N/A,#N/A,FALSE,"Costos Productos 6A";#N/A,#N/A,FALSE,"Costo Unitario Total H-94-12"}</definedName>
    <definedName name="COSTCONTAB" localSheetId="19" hidden="1">{#N/A,#N/A,FALSE,"Costos Productos 6A";#N/A,#N/A,FALSE,"Costo Unitario Total H-94-12"}</definedName>
    <definedName name="COSTCONTAB" localSheetId="16" hidden="1">{#N/A,#N/A,FALSE,"Costos Productos 6A";#N/A,#N/A,FALSE,"Costo Unitario Total H-94-12"}</definedName>
    <definedName name="COSTCONTAB" localSheetId="3" hidden="1">{#N/A,#N/A,FALSE,"Costos Productos 6A";#N/A,#N/A,FALSE,"Costo Unitario Total H-94-12"}</definedName>
    <definedName name="COSTCONTAB" localSheetId="15" hidden="1">{#N/A,#N/A,FALSE,"Costos Productos 6A";#N/A,#N/A,FALSE,"Costo Unitario Total H-94-12"}</definedName>
    <definedName name="COSTCONTAB" localSheetId="23" hidden="1">{#N/A,#N/A,FALSE,"Costos Productos 6A";#N/A,#N/A,FALSE,"Costo Unitario Total H-94-12"}</definedName>
    <definedName name="COSTCONTAB" localSheetId="0" hidden="1">{#N/A,#N/A,FALSE,"Costos Productos 6A";#N/A,#N/A,FALSE,"Costo Unitario Total H-94-12"}</definedName>
    <definedName name="COSTCONTAB" hidden="1">{#N/A,#N/A,FALSE,"Costos Productos 6A";#N/A,#N/A,FALSE,"Costo Unitario Total H-94-12"}</definedName>
    <definedName name="costivo" hidden="1">{#N/A,#N/A,FALSE,"Costos Productos 6A";#N/A,#N/A,FALSE,"Costo Unitario Total H-94-12"}</definedName>
    <definedName name="costivos" localSheetId="4" hidden="1">{#N/A,#N/A,FALSE,"Costos Productos 6A";#N/A,#N/A,FALSE,"Costo Unitario Total H-94-12"}</definedName>
    <definedName name="costivos" localSheetId="19" hidden="1">{#N/A,#N/A,FALSE,"Costos Productos 6A";#N/A,#N/A,FALSE,"Costo Unitario Total H-94-12"}</definedName>
    <definedName name="costivos" localSheetId="16" hidden="1">{#N/A,#N/A,FALSE,"Costos Productos 6A";#N/A,#N/A,FALSE,"Costo Unitario Total H-94-12"}</definedName>
    <definedName name="costivos" localSheetId="3" hidden="1">{#N/A,#N/A,FALSE,"Costos Productos 6A";#N/A,#N/A,FALSE,"Costo Unitario Total H-94-12"}</definedName>
    <definedName name="costivos" localSheetId="15" hidden="1">{#N/A,#N/A,FALSE,"Costos Productos 6A";#N/A,#N/A,FALSE,"Costo Unitario Total H-94-12"}</definedName>
    <definedName name="costivos" localSheetId="23" hidden="1">{#N/A,#N/A,FALSE,"Costos Productos 6A";#N/A,#N/A,FALSE,"Costo Unitario Total H-94-12"}</definedName>
    <definedName name="costivos" localSheetId="0" hidden="1">{#N/A,#N/A,FALSE,"Costos Productos 6A";#N/A,#N/A,FALSE,"Costo Unitario Total H-94-12"}</definedName>
    <definedName name="costivos" hidden="1">{#N/A,#N/A,FALSE,"Costos Productos 6A";#N/A,#N/A,FALSE,"Costo Unitario Total H-94-12"}</definedName>
    <definedName name="costoperativos" localSheetId="4" hidden="1">{#N/A,#N/A,FALSE,"Costos Productos 6A";#N/A,#N/A,FALSE,"Costo Unitario Total H-94-12"}</definedName>
    <definedName name="costoperativos" localSheetId="19" hidden="1">{#N/A,#N/A,FALSE,"Costos Productos 6A";#N/A,#N/A,FALSE,"Costo Unitario Total H-94-12"}</definedName>
    <definedName name="costoperativos" localSheetId="16" hidden="1">{#N/A,#N/A,FALSE,"Costos Productos 6A";#N/A,#N/A,FALSE,"Costo Unitario Total H-94-12"}</definedName>
    <definedName name="costoperativos" localSheetId="3" hidden="1">{#N/A,#N/A,FALSE,"Costos Productos 6A";#N/A,#N/A,FALSE,"Costo Unitario Total H-94-12"}</definedName>
    <definedName name="costoperativos" localSheetId="15" hidden="1">{#N/A,#N/A,FALSE,"Costos Productos 6A";#N/A,#N/A,FALSE,"Costo Unitario Total H-94-12"}</definedName>
    <definedName name="costoperativos" localSheetId="23" hidden="1">{#N/A,#N/A,FALSE,"Costos Productos 6A";#N/A,#N/A,FALSE,"Costo Unitario Total H-94-12"}</definedName>
    <definedName name="costoperativos" localSheetId="0" hidden="1">{#N/A,#N/A,FALSE,"Costos Productos 6A";#N/A,#N/A,FALSE,"Costo Unitario Total H-94-12"}</definedName>
    <definedName name="costoperativos" hidden="1">{#N/A,#N/A,FALSE,"Costos Productos 6A";#N/A,#N/A,FALSE,"Costo Unitario Total H-94-12"}</definedName>
    <definedName name="costos" localSheetId="4" hidden="1">{#N/A,#N/A,FALSE,"VOL695";#N/A,#N/A,FALSE,"anexo1";#N/A,#N/A,FALSE,"anexo2";#N/A,#N/A,FALSE,"anexo3";#N/A,#N/A,FALSE,"anexo4";#N/A,#N/A,FALSE,"anexo5a";#N/A,#N/A,FALSE,"anexo5b";#N/A,#N/A,FALSE,"anexo6a";#N/A,#N/A,FALSE,"anexo6a";#N/A,#N/A,FALSE,"anexo6c";#N/A,#N/A,FALSE,"anexo7a";#N/A,#N/A,FALSE,"anexo7b";#N/A,#N/A,FALSE,"anexo7c"}</definedName>
    <definedName name="costos" localSheetId="19" hidden="1">{#N/A,#N/A,FALSE,"VOL695";#N/A,#N/A,FALSE,"anexo1";#N/A,#N/A,FALSE,"anexo2";#N/A,#N/A,FALSE,"anexo3";#N/A,#N/A,FALSE,"anexo4";#N/A,#N/A,FALSE,"anexo5a";#N/A,#N/A,FALSE,"anexo5b";#N/A,#N/A,FALSE,"anexo6a";#N/A,#N/A,FALSE,"anexo6a";#N/A,#N/A,FALSE,"anexo6c";#N/A,#N/A,FALSE,"anexo7a";#N/A,#N/A,FALSE,"anexo7b";#N/A,#N/A,FALSE,"anexo7c"}</definedName>
    <definedName name="costos" localSheetId="16" hidden="1">{#N/A,#N/A,FALSE,"VOL695";#N/A,#N/A,FALSE,"anexo1";#N/A,#N/A,FALSE,"anexo2";#N/A,#N/A,FALSE,"anexo3";#N/A,#N/A,FALSE,"anexo4";#N/A,#N/A,FALSE,"anexo5a";#N/A,#N/A,FALSE,"anexo5b";#N/A,#N/A,FALSE,"anexo6a";#N/A,#N/A,FALSE,"anexo6a";#N/A,#N/A,FALSE,"anexo6c";#N/A,#N/A,FALSE,"anexo7a";#N/A,#N/A,FALSE,"anexo7b";#N/A,#N/A,FALSE,"anexo7c"}</definedName>
    <definedName name="costos" localSheetId="3" hidden="1">{#N/A,#N/A,FALSE,"VOL695";#N/A,#N/A,FALSE,"anexo1";#N/A,#N/A,FALSE,"anexo2";#N/A,#N/A,FALSE,"anexo3";#N/A,#N/A,FALSE,"anexo4";#N/A,#N/A,FALSE,"anexo5a";#N/A,#N/A,FALSE,"anexo5b";#N/A,#N/A,FALSE,"anexo6a";#N/A,#N/A,FALSE,"anexo6a";#N/A,#N/A,FALSE,"anexo6c";#N/A,#N/A,FALSE,"anexo7a";#N/A,#N/A,FALSE,"anexo7b";#N/A,#N/A,FALSE,"anexo7c"}</definedName>
    <definedName name="costos" localSheetId="15" hidden="1">{#N/A,#N/A,FALSE,"VOL695";#N/A,#N/A,FALSE,"anexo1";#N/A,#N/A,FALSE,"anexo2";#N/A,#N/A,FALSE,"anexo3";#N/A,#N/A,FALSE,"anexo4";#N/A,#N/A,FALSE,"anexo5a";#N/A,#N/A,FALSE,"anexo5b";#N/A,#N/A,FALSE,"anexo6a";#N/A,#N/A,FALSE,"anexo6a";#N/A,#N/A,FALSE,"anexo6c";#N/A,#N/A,FALSE,"anexo7a";#N/A,#N/A,FALSE,"anexo7b";#N/A,#N/A,FALSE,"anexo7c"}</definedName>
    <definedName name="costos" localSheetId="23" hidden="1">{#N/A,#N/A,FALSE,"VOL695";#N/A,#N/A,FALSE,"anexo1";#N/A,#N/A,FALSE,"anexo2";#N/A,#N/A,FALSE,"anexo3";#N/A,#N/A,FALSE,"anexo4";#N/A,#N/A,FALSE,"anexo5a";#N/A,#N/A,FALSE,"anexo5b";#N/A,#N/A,FALSE,"anexo6a";#N/A,#N/A,FALSE,"anexo6a";#N/A,#N/A,FALSE,"anexo6c";#N/A,#N/A,FALSE,"anexo7a";#N/A,#N/A,FALSE,"anexo7b";#N/A,#N/A,FALSE,"anexo7c"}</definedName>
    <definedName name="costos" localSheetId="0" hidden="1">{#N/A,#N/A,FALSE,"VOL695";#N/A,#N/A,FALSE,"anexo1";#N/A,#N/A,FALSE,"anexo2";#N/A,#N/A,FALSE,"anexo3";#N/A,#N/A,FALSE,"anexo4";#N/A,#N/A,FALSE,"anexo5a";#N/A,#N/A,FALSE,"anexo5b";#N/A,#N/A,FALSE,"anexo6a";#N/A,#N/A,FALSE,"anexo6a";#N/A,#N/A,FALSE,"anexo6c";#N/A,#N/A,FALSE,"anexo7a";#N/A,#N/A,FALSE,"anexo7b";#N/A,#N/A,FALSE,"anexo7c"}</definedName>
    <definedName name="costos" hidden="1">{#N/A,#N/A,FALSE,"VOL695";#N/A,#N/A,FALSE,"anexo1";#N/A,#N/A,FALSE,"anexo2";#N/A,#N/A,FALSE,"anexo3";#N/A,#N/A,FALSE,"anexo4";#N/A,#N/A,FALSE,"anexo5a";#N/A,#N/A,FALSE,"anexo5b";#N/A,#N/A,FALSE,"anexo6a";#N/A,#N/A,FALSE,"anexo6a";#N/A,#N/A,FALSE,"anexo6c";#N/A,#N/A,FALSE,"anexo7a";#N/A,#N/A,FALSE,"anexo7b";#N/A,#N/A,FALSE,"anexo7c"}</definedName>
    <definedName name="costos04" localSheetId="4" hidden="1">{#N/A,#N/A,FALSE,"Costos Productos 6A";#N/A,#N/A,FALSE,"Costo Unitario Total H-94-12"}</definedName>
    <definedName name="costos04" localSheetId="19" hidden="1">{#N/A,#N/A,FALSE,"Costos Productos 6A";#N/A,#N/A,FALSE,"Costo Unitario Total H-94-12"}</definedName>
    <definedName name="costos04" localSheetId="16" hidden="1">{#N/A,#N/A,FALSE,"Costos Productos 6A";#N/A,#N/A,FALSE,"Costo Unitario Total H-94-12"}</definedName>
    <definedName name="costos04" localSheetId="3" hidden="1">{#N/A,#N/A,FALSE,"Costos Productos 6A";#N/A,#N/A,FALSE,"Costo Unitario Total H-94-12"}</definedName>
    <definedName name="costos04" localSheetId="15" hidden="1">{#N/A,#N/A,FALSE,"Costos Productos 6A";#N/A,#N/A,FALSE,"Costo Unitario Total H-94-12"}</definedName>
    <definedName name="costos04" localSheetId="23" hidden="1">{#N/A,#N/A,FALSE,"Costos Productos 6A";#N/A,#N/A,FALSE,"Costo Unitario Total H-94-12"}</definedName>
    <definedName name="costos04" localSheetId="0" hidden="1">{#N/A,#N/A,FALSE,"Costos Productos 6A";#N/A,#N/A,FALSE,"Costo Unitario Total H-94-12"}</definedName>
    <definedName name="costos04" hidden="1">{#N/A,#N/A,FALSE,"Costos Productos 6A";#N/A,#N/A,FALSE,"Costo Unitario Total H-94-12"}</definedName>
    <definedName name="Costos1" hidden="1">{#N/A,#N/A,FALSE,"Full";#N/A,#N/A,FALSE,"Half";#N/A,#N/A,FALSE,"Op Expenses";#N/A,#N/A,FALSE,"Cap Charge";#N/A,#N/A,FALSE,"Cost C";#N/A,#N/A,FALSE,"PP&amp;E";#N/A,#N/A,FALSE,"R&amp;D"}</definedName>
    <definedName name="cotfh">#REF!</definedName>
    <definedName name="cotfl">#REF!</definedName>
    <definedName name="cotfm">#REF!</definedName>
    <definedName name="cotft">#REF!</definedName>
    <definedName name="cottt">#REF!</definedName>
    <definedName name="Cpaa">#REF!</definedName>
    <definedName name="CPP_">#REF!</definedName>
    <definedName name="_xlnm.Criteria" localSheetId="4">#REF!</definedName>
    <definedName name="_xlnm.Criteria" localSheetId="3">#REF!</definedName>
    <definedName name="_xlnm.Criteria" localSheetId="15">#REF!</definedName>
    <definedName name="_xlnm.Criteria" localSheetId="0">#REF!</definedName>
    <definedName name="_xlnm.Criteria">[1]Transformador!#REF!</definedName>
    <definedName name="CRITICIDAD">#REF!</definedName>
    <definedName name="CRUDOS" localSheetId="4" hidden="1">{#N/A,#N/A,FALSE,"CIBHA05A";#N/A,#N/A,FALSE,"CIBHA05B"}</definedName>
    <definedName name="CRUDOS" localSheetId="19" hidden="1">{#N/A,#N/A,FALSE,"CIBHA05A";#N/A,#N/A,FALSE,"CIBHA05B"}</definedName>
    <definedName name="CRUDOS" localSheetId="16" hidden="1">{#N/A,#N/A,FALSE,"CIBHA05A";#N/A,#N/A,FALSE,"CIBHA05B"}</definedName>
    <definedName name="CRUDOS" localSheetId="3" hidden="1">{#N/A,#N/A,FALSE,"CIBHA05A";#N/A,#N/A,FALSE,"CIBHA05B"}</definedName>
    <definedName name="CRUDOS" localSheetId="15" hidden="1">{#N/A,#N/A,FALSE,"CIBHA05A";#N/A,#N/A,FALSE,"CIBHA05B"}</definedName>
    <definedName name="CRUDOS" localSheetId="23" hidden="1">{#N/A,#N/A,FALSE,"CIBHA05A";#N/A,#N/A,FALSE,"CIBHA05B"}</definedName>
    <definedName name="CRUDOS" localSheetId="0" hidden="1">{#N/A,#N/A,FALSE,"CIBHA05A";#N/A,#N/A,FALSE,"CIBHA05B"}</definedName>
    <definedName name="CRUDOS" hidden="1">{#N/A,#N/A,FALSE,"CIBHA05A";#N/A,#N/A,FALSE,"CIBHA05B"}</definedName>
    <definedName name="ctctt">#REF!</definedName>
    <definedName name="CUNDINAMARCA">#REF!</definedName>
    <definedName name="Curvas" localSheetId="0">#REF!</definedName>
    <definedName name="Curvas">[3]Listas!$H$2:$H$10</definedName>
    <definedName name="CVaya">#REF!</definedName>
    <definedName name="cvbcvbf" localSheetId="19" hidden="1">{#N/A,#N/A,TRUE,"INGENIERIA";#N/A,#N/A,TRUE,"COMPRAS";#N/A,#N/A,TRUE,"DIRECCION";#N/A,#N/A,TRUE,"RESUMEN"}</definedName>
    <definedName name="cvbcvbf" localSheetId="22" hidden="1">{#N/A,#N/A,TRUE,"INGENIERIA";#N/A,#N/A,TRUE,"COMPRAS";#N/A,#N/A,TRUE,"DIRECCION";#N/A,#N/A,TRUE,"RESUMEN"}</definedName>
    <definedName name="cvbcvbf" localSheetId="16" hidden="1">{#N/A,#N/A,TRUE,"INGENIERIA";#N/A,#N/A,TRUE,"COMPRAS";#N/A,#N/A,TRUE,"DIRECCION";#N/A,#N/A,TRUE,"RESUMEN"}</definedName>
    <definedName name="cvbcvbf" localSheetId="23" hidden="1">{#N/A,#N/A,TRUE,"INGENIERIA";#N/A,#N/A,TRUE,"COMPRAS";#N/A,#N/A,TRUE,"DIRECCION";#N/A,#N/A,TRUE,"RESUMEN"}</definedName>
    <definedName name="cvbcvbf" hidden="1">{#N/A,#N/A,TRUE,"INGENIERIA";#N/A,#N/A,TRUE,"COMPRAS";#N/A,#N/A,TRUE,"DIRECCION";#N/A,#N/A,TRUE,"RESUMEN"}</definedName>
    <definedName name="CVcar">#REF!</definedName>
    <definedName name="CVclm">#REF!</definedName>
    <definedName name="CVcom">#REF!</definedName>
    <definedName name="CVodc">#REF!</definedName>
    <definedName name="CVsin">#REF!</definedName>
    <definedName name="Cwvu.oil." hidden="1">#REF!,#REF!,#REF!,#REF!,#REF!,#REF!,#REF!,#REF!,#REF!,#REF!,#REF!,#REF!,#REF!,#REF!,#REF!</definedName>
    <definedName name="Cwvu.oilgasagua." hidden="1">#REF!,#REF!,#REF!,#REF!,#REF!,#REF!,#REF!,#REF!,#REF!,#REF!,#REF!,#REF!,#REF!,#REF!,#REF!,#REF!,#REF!,#REF!</definedName>
    <definedName name="Cwvu.RCEIBAS1." hidden="1">#REF!,#REF!,#REF!,#REF!,#REF!,#REF!,#REF!,#REF!,#REF!,#REF!,#REF!,#REF!,#REF!,#REF!,#REF!</definedName>
    <definedName name="D" localSheetId="4">#REF!</definedName>
    <definedName name="D" localSheetId="3">#REF!</definedName>
    <definedName name="D" localSheetId="0">#REF!</definedName>
    <definedName name="D">'[5]IEEE 80-2000'!$D$35</definedName>
    <definedName name="d_dddw_pd_dens_uom__uom_code">#REF!</definedName>
    <definedName name="d_dddw_pipe_orif_material__pipe_mat_name">#REF!</definedName>
    <definedName name="d_dddw_spec_cmpnt_mfr__cmpnt_mfr_name">#REF!</definedName>
    <definedName name="d_dddw_spec_cmpnt_mod__cmpnt_mod_name">#REF!</definedName>
    <definedName name="d_ex_sub_plus_name__sub_s">#REF!</definedName>
    <definedName name="DASD" hidden="1">{#N/A,#N/A,FALSE,"Costos Productos 6A";#N/A,#N/A,FALSE,"Costo Unitario Total H-94-12"}</definedName>
    <definedName name="DAT">#REF!</definedName>
    <definedName name="Data" localSheetId="15">#REF!</definedName>
    <definedName name="Data" localSheetId="23">#REF!</definedName>
    <definedName name="Data">#REF!</definedName>
    <definedName name="DATOS">#REF!</definedName>
    <definedName name="Datos_aroma" localSheetId="4">#REF!</definedName>
    <definedName name="Datos_aroma" localSheetId="19">'Demanda Trafo A'!Datos_aroma</definedName>
    <definedName name="Datos_aroma" localSheetId="22">factores!Datos_aroma</definedName>
    <definedName name="Datos_aroma" localSheetId="16">'H1-CUADRO DE CARGAS'!Datos_aroma</definedName>
    <definedName name="Datos_aroma" localSheetId="3">#REF!</definedName>
    <definedName name="Datos_aroma" localSheetId="23">'Tablas Cables'!Datos_aroma</definedName>
    <definedName name="Datos_aroma">[0]!Datos_aroma</definedName>
    <definedName name="dc" localSheetId="0">#REF!</definedName>
    <definedName name="dc">'[5]IEEE 80-2000'!$V$24</definedName>
    <definedName name="DCI">#REF!</definedName>
    <definedName name="DCI1_1">#REF!</definedName>
    <definedName name="DCI1_1_1">#REF!</definedName>
    <definedName name="DCI1_1_2">#REF!</definedName>
    <definedName name="DCI1_1_3">#REF!</definedName>
    <definedName name="DCI1_1_4">#REF!</definedName>
    <definedName name="DCI1_2">#REF!</definedName>
    <definedName name="DCI1_3">#REF!</definedName>
    <definedName name="DCI1_4">#REF!</definedName>
    <definedName name="dcs_range_max_001">#REF!</definedName>
    <definedName name="dcs_range_min_001">#REF!</definedName>
    <definedName name="dcs_range_uflg_001">#REF!</definedName>
    <definedName name="dcs_range_uom_001">#REF!</definedName>
    <definedName name="dctot">#REF!</definedName>
    <definedName name="DD" localSheetId="4">'C.C. '!DD</definedName>
    <definedName name="DD" localSheetId="19">'Demanda Trafo A'!DD</definedName>
    <definedName name="DD" localSheetId="22">factores!DD</definedName>
    <definedName name="DD" localSheetId="16">'H1-CUADRO DE CARGAS'!DD</definedName>
    <definedName name="DD" localSheetId="3">'PORTADA '!DD</definedName>
    <definedName name="DD" localSheetId="23">'Tablas Cables'!DD</definedName>
    <definedName name="DD">[0]!DD</definedName>
    <definedName name="ddd" localSheetId="4">#REF!</definedName>
    <definedName name="ddd" localSheetId="19">Scheduled_Payment+Extra_Payment</definedName>
    <definedName name="ddd" localSheetId="16">Scheduled_Payment+Extra_Payment</definedName>
    <definedName name="ddd" localSheetId="13">Scheduled_Payment+Extra_Payment</definedName>
    <definedName name="ddd" localSheetId="3">#REF!</definedName>
    <definedName name="ddd" localSheetId="15">Scheduled_Payment+Extra_Payment</definedName>
    <definedName name="ddd" localSheetId="23">Scheduled_Payment+Extra_Payment</definedName>
    <definedName name="ddd" localSheetId="0">Scheduled_Payment+Extra_Payment</definedName>
    <definedName name="ddd">Scheduled_Payment+Extra_Payment</definedName>
    <definedName name="DDDD" hidden="1">{#N/A,#N/A,FALSE,"Costos Productos 6A";#N/A,#N/A,FALSE,"Costo Unitario Total H-94-12"}</definedName>
    <definedName name="dddsd">[6]TABLAS!$A$249:$B$253</definedName>
    <definedName name="DDE" hidden="1">{#N/A,#N/A,TRUE,"1842CWN0"}</definedName>
    <definedName name="DDS">#REF!</definedName>
    <definedName name="DDS1_1">#REF!</definedName>
    <definedName name="DDS1_1_1">#REF!</definedName>
    <definedName name="DDSA" hidden="1">#REF!</definedName>
    <definedName name="DDVFDV" hidden="1">{#N/A,#N/A,FALSE,"Costos Productos 6A";#N/A,#N/A,FALSE,"Costo Unitario Total H-94-12"}</definedName>
    <definedName name="dedqe" hidden="1">{#N/A,#N/A,FALSE,"Casanare";#N/A,#N/A,FALSE,"Estero";#N/A,#N/A,FALSE,"Garcero";#N/A,#N/A,FALSE,"Orocué";#N/A,#N/A,FALSE,"Corocora"}</definedName>
    <definedName name="DEMANDAS">#REF!</definedName>
    <definedName name="DEP_VPR_GRM">#REF!</definedName>
    <definedName name="DEP_VPR_GRN">#REF!</definedName>
    <definedName name="DEP_VPR_GRS">#REF!</definedName>
    <definedName name="DEP_VPR_GTP">#REF!</definedName>
    <definedName name="DEP_VPR_NA">#REF!</definedName>
    <definedName name="Departamentos">#REF!</definedName>
    <definedName name="DEPENDENCIAS">#REF!</definedName>
    <definedName name="DESCRIPCION">#REF!</definedName>
    <definedName name="DESCRIPCION_REVISIONES">#REF!</definedName>
    <definedName name="DESCUENTOS">#REF!</definedName>
    <definedName name="DETALLES" hidden="1">#REF!</definedName>
    <definedName name="df">#N/A</definedName>
    <definedName name="dfd" localSheetId="4">#REF!</definedName>
    <definedName name="dfd" localSheetId="3">#REF!</definedName>
    <definedName name="dfd" hidden="1">{"krl1",#N/A,FALSE,"kr";"krl2",#N/A,FALSE,"kr";"compara",#N/A,FALSE,"kr";"desconp1",#N/A,FALSE,"kr";"desconp12",#N/A,FALSE,"kr";"krnp1",#N/A,FALSE,"kr";"krnp2",#N/A,FALSE,"kr";"krp12avg",#N/A,FALSE,"kr";"krp1avg",#N/A,FALSE,"kr"}</definedName>
    <definedName name="DFDE" hidden="1">{#N/A,#N/A,TRUE,"1842CWN0"}</definedName>
    <definedName name="DFDF" hidden="1">{#N/A,#N/A,FALSE,"CIBHA05A";#N/A,#N/A,FALSE,"CIBHA05B"}</definedName>
    <definedName name="dfe">#REF!</definedName>
    <definedName name="DFEET" hidden="1">{#N/A,#N/A,TRUE,"INGENIERIA";#N/A,#N/A,TRUE,"COMPRAS";#N/A,#N/A,TRUE,"DIRECCION";#N/A,#N/A,TRUE,"RESUMEN"}</definedName>
    <definedName name="dffff" hidden="1">{#N/A,#N/A,FALSE,"Cravo Norte"}</definedName>
    <definedName name="DGFEE" hidden="1">{#N/A,#N/A,TRUE,"1842CWN0"}</definedName>
    <definedName name="DGFGGHF" hidden="1">{#N/A,#N/A,TRUE,"INGENIERIA";#N/A,#N/A,TRUE,"COMPRAS";#N/A,#N/A,TRUE,"DIRECCION";#N/A,#N/A,TRUE,"RESUMEN"}</definedName>
    <definedName name="DGFR" hidden="1">{#N/A,#N/A,TRUE,"1842CWN0"}</definedName>
    <definedName name="DGGGHHJT" hidden="1">{#N/A,#N/A,TRUE,"INGENIERIA";#N/A,#N/A,TRUE,"COMPRAS";#N/A,#N/A,TRUE,"DIRECCION";#N/A,#N/A,TRUE,"RESUMEN"}</definedName>
    <definedName name="DGO">#REF!</definedName>
    <definedName name="DGO1_1">#REF!</definedName>
    <definedName name="DGO1_1_1">#REF!</definedName>
    <definedName name="DGP">#REF!</definedName>
    <definedName name="DGP1_1">#REF!</definedName>
    <definedName name="DGP1_1_1">#REF!</definedName>
    <definedName name="DGRR" hidden="1">{#N/A,#N/A,TRUE,"INGENIERIA";#N/A,#N/A,TRUE,"COMPRAS";#N/A,#N/A,TRUE,"DIRECCION";#N/A,#N/A,TRUE,"RESUMEN"}</definedName>
    <definedName name="DI2_">#REF!</definedName>
    <definedName name="DI3_">#REF!</definedName>
    <definedName name="DI4_">#REF!</definedName>
    <definedName name="DIAMETROS">#REF!</definedName>
    <definedName name="diana" localSheetId="4">'C.C. '!diana</definedName>
    <definedName name="diana" localSheetId="19">'Demanda Trafo A'!diana</definedName>
    <definedName name="diana" localSheetId="22">factores!diana</definedName>
    <definedName name="diana" localSheetId="16">'H1-CUADRO DE CARGAS'!diana</definedName>
    <definedName name="diana" localSheetId="3">'PORTADA '!diana</definedName>
    <definedName name="diana" localSheetId="23">'Tablas Cables'!diana</definedName>
    <definedName name="diana">[0]!diana</definedName>
    <definedName name="DIJ">#REF!</definedName>
    <definedName name="DIJ1_1">#REF!</definedName>
    <definedName name="DIJ1_1_1">#REF!</definedName>
    <definedName name="DIJ1_1_2">#REF!</definedName>
    <definedName name="DIJ1_1_3">#REF!</definedName>
    <definedName name="DIJ1_1_4">#REF!</definedName>
    <definedName name="DIJ1_1_5">#REF!</definedName>
    <definedName name="DIJ1_2">#REF!</definedName>
    <definedName name="DIJ1_3">#REF!</definedName>
    <definedName name="DIJ1_4">#REF!</definedName>
    <definedName name="DIJ1_5">#REF!</definedName>
    <definedName name="dimensiones" localSheetId="15">#REF!</definedName>
    <definedName name="dimensiones" localSheetId="23">#REF!</definedName>
    <definedName name="dimensiones">#REF!</definedName>
    <definedName name="Direccion">#REF!</definedName>
    <definedName name="DIS_">#REF!</definedName>
    <definedName name="Discount" hidden="1">#REF!</definedName>
    <definedName name="DL" localSheetId="0">#REF!</definedName>
    <definedName name="DL">'[5]IEEE 80-2000'!$D$57</definedName>
    <definedName name="DM" localSheetId="0">#REF!</definedName>
    <definedName name="DM">'[5]IEEE 80-2000'!$D$35</definedName>
    <definedName name="DME_BeforeCloseCompleted" hidden="1">"False"</definedName>
    <definedName name="DMxUS">#REF!</definedName>
    <definedName name="dolar">#REF!</definedName>
    <definedName name="DOLLAR">#REF!</definedName>
    <definedName name="DOS">#REF!</definedName>
    <definedName name="DOTACIÓN">#REF!</definedName>
    <definedName name="DPI">#REF!</definedName>
    <definedName name="DPI1_1">#REF!</definedName>
    <definedName name="DPI1_1_1">#REF!</definedName>
    <definedName name="DPY">#REF!</definedName>
    <definedName name="DPY1_1">#REF!</definedName>
    <definedName name="DPY1_1_1">#REF!</definedName>
    <definedName name="dqedqef" hidden="1">{#N/A,#N/A,FALSE,"Upía";#N/A,#N/A,FALSE,"CPR Espinal";#N/A,#N/A,FALSE,"Magangué"}</definedName>
    <definedName name="DRI">#REF!</definedName>
    <definedName name="DRI1_1">#REF!</definedName>
    <definedName name="DRI1_1_1">#REF!</definedName>
    <definedName name="DRI1_1_2">#REF!</definedName>
    <definedName name="DRI1_1_3">#REF!</definedName>
    <definedName name="DRI1_1_4">#REF!</definedName>
    <definedName name="DRI1_2">#REF!</definedName>
    <definedName name="DRI1_3">#REF!</definedName>
    <definedName name="DRI1_4">#REF!</definedName>
    <definedName name="DRL">#REF!</definedName>
    <definedName name="DRL1_1">#REF!</definedName>
    <definedName name="DRL1_1_1">#REF!</definedName>
    <definedName name="DRL1_1_2">#REF!</definedName>
    <definedName name="DRL1_1_3">#REF!</definedName>
    <definedName name="DRL1_1_4">#REF!</definedName>
    <definedName name="DRL1_2">#REF!</definedName>
    <definedName name="DRL1_3">#REF!</definedName>
    <definedName name="DRL1_4">#REF!</definedName>
    <definedName name="dry_weight_001">#REF!</definedName>
    <definedName name="ds" hidden="1">{#N/A,#N/A,FALSE,"Cravo Norte"}</definedName>
    <definedName name="dsdd">[6]TABLAS!$A$249:$B$253</definedName>
    <definedName name="dsf" hidden="1">{#N/A,#N/A,FALSE,"Ppto. Inv. por Proyectos";#N/A,#N/A,FALSE,"Ppto. Gastos por Asociación"}</definedName>
    <definedName name="dso" hidden="1">{#N/A,#N/A,FALSE,"DMC schedule";#N/A,#N/A,FALSE,"DMC_THC Revenue";#N/A,#N/A,FALSE,"Personnel plan";#N/A,#N/A,FALSE,"Capex HW+SW";#N/A,#N/A,FALSE,"P&amp;L"}</definedName>
    <definedName name="DSP">#REF!</definedName>
    <definedName name="DSP1_1">#REF!</definedName>
    <definedName name="DSP1_1_1">#REF!</definedName>
    <definedName name="dt">#REF!</definedName>
    <definedName name="Duales" localSheetId="0">#REF!</definedName>
    <definedName name="Duales">[3]Listas!$D$3:$D$9</definedName>
    <definedName name="Duales_1Ø" localSheetId="15">#REF!</definedName>
    <definedName name="Duales_1Ø" localSheetId="23">#REF!</definedName>
    <definedName name="Duales_1Ø">#REF!</definedName>
    <definedName name="Duales_3Ø" localSheetId="15">#REF!</definedName>
    <definedName name="Duales_3Ø" localSheetId="23">#REF!</definedName>
    <definedName name="Duales_3Ø">#REF!</definedName>
    <definedName name="DUARTE_HERNANDEZ___ARMINE" localSheetId="4">[0]!HOJA</definedName>
    <definedName name="DUARTE_HERNANDEZ___ARMINE">[0]!HOJA</definedName>
    <definedName name="dw_uom_ln__uom_code">#REF!</definedName>
    <definedName name="dw_uom_pr__uom_code">#REF!</definedName>
    <definedName name="dw_uom_tm__uom_code">#REF!</definedName>
    <definedName name="dw_uom_vs__uom_code">#REF!</definedName>
    <definedName name="dwg_id_001">#REF!</definedName>
    <definedName name="dwg_name">#REF!</definedName>
    <definedName name="dwg_name_001">#REF!</definedName>
    <definedName name="dwg_schematic_id_001">#REF!</definedName>
    <definedName name="DWPRICE" hidden="1">#REF!</definedName>
    <definedName name="E" localSheetId="4">#REF!</definedName>
    <definedName name="E" localSheetId="3">#REF!</definedName>
    <definedName name="E" hidden="1">{"krl1",#N/A,FALSE,"kr";"krl2",#N/A,FALSE,"kr";"compara",#N/A,FALSE,"kr";"desconp1",#N/A,FALSE,"kr";"desconp12",#N/A,FALSE,"kr";"krnp1",#N/A,FALSE,"kr";"krnp2",#N/A,FALSE,"kr";"krp12avg",#N/A,FALSE,"kr";"krp1avg",#N/A,FALSE,"kr"}</definedName>
    <definedName name="E_03">#REF!</definedName>
    <definedName name="ecaph">#REF!</definedName>
    <definedName name="ecapl">#REF!</definedName>
    <definedName name="eccih">#REF!</definedName>
    <definedName name="eccil">#REF!</definedName>
    <definedName name="ecmih">#REF!</definedName>
    <definedName name="ecmil">#REF!</definedName>
    <definedName name="ecmim">#REF!</definedName>
    <definedName name="ecmit">#REF!</definedName>
    <definedName name="ECONOMIA">#REF!</definedName>
    <definedName name="ECP">#REF!</definedName>
    <definedName name="ECP1_1">#REF!</definedName>
    <definedName name="ECP1_1_1">#REF!</definedName>
    <definedName name="ecsth">#REF!</definedName>
    <definedName name="ecstl">#REF!</definedName>
    <definedName name="ecttt">#REF!</definedName>
    <definedName name="ecuadro" hidden="1">{#N/A,#N/A,FALSE,"DMC schedule";#N/A,#N/A,FALSE,"DMC_THC Revenue";#N/A,#N/A,FALSE,"Personnel plan";#N/A,#N/A,FALSE,"Capex HW+SW";#N/A,#N/A,FALSE,"P&amp;L"}</definedName>
    <definedName name="edg" hidden="1">#REF!</definedName>
    <definedName name="EE" hidden="1">{#N/A,#N/A,FALSE,"Costos Productos 6A";#N/A,#N/A,FALSE,"Costo Unitario Total H-94-12"}</definedName>
    <definedName name="eee" hidden="1">{#N/A,#N/A,FALSE,"DITCAR";#N/A,#N/A,FALSE,"a1";#N/A,#N/A,FALSE,"a2";#N/A,#N/A,FALSE,"a3";#N/A,#N/A,FALSE,"a4";#N/A,#N/A,FALSE,"a4a";#N/A,#N/A,FALSE,"a4B";#N/A,#N/A,FALSE,"a4C";#N/A,#N/A,FALSE,"A5a ";#N/A,#N/A,FALSE,"A5b";#N/A,#N/A,FALSE,"A6A";#N/A,#N/A,FALSE,"A6B";#N/A,#N/A,FALSE,"A6C";#N/A,#N/A,FALSE,"04PG12NB"}</definedName>
    <definedName name="eefaseIINCDIES" hidden="1">{#N/A,#N/A,FALSE,"DITCAR";#N/A,#N/A,FALSE,"a1";#N/A,#N/A,FALSE,"a2";#N/A,#N/A,FALSE,"a3";#N/A,#N/A,FALSE,"a4";#N/A,#N/A,FALSE,"a4a";#N/A,#N/A,FALSE,"a4B";#N/A,#N/A,FALSE,"a4C";#N/A,#N/A,FALSE,"A5a ";#N/A,#N/A,FALSE,"A5b";#N/A,#N/A,FALSE,"A6A";#N/A,#N/A,FALSE,"A6B";#N/A,#N/A,FALSE,"A6C";#N/A,#N/A,FALSE,"04PG12NB"}</definedName>
    <definedName name="EF">#REF!</definedName>
    <definedName name="EFA">#REF!</definedName>
    <definedName name="EFFASEI_INC_DIESEL2" hidden="1">{#N/A,#N/A,FALSE,"DITCAR";#N/A,#N/A,FALSE,"a1";#N/A,#N/A,FALSE,"a2";#N/A,#N/A,FALSE,"a3";#N/A,#N/A,FALSE,"a4";#N/A,#N/A,FALSE,"a4a";#N/A,#N/A,FALSE,"a4B";#N/A,#N/A,FALSE,"a4C";#N/A,#N/A,FALSE,"A5a ";#N/A,#N/A,FALSE,"A5b";#N/A,#N/A,FALSE,"A6A";#N/A,#N/A,FALSE,"A6B";#N/A,#N/A,FALSE,"A6C";#N/A,#N/A,FALSE,"04PG12NB"}</definedName>
    <definedName name="EIHD" localSheetId="4">#REF!</definedName>
    <definedName name="EIHD" localSheetId="19">'Demanda Trafo A'!EIHD</definedName>
    <definedName name="EIHD" localSheetId="22">factores!EIHD</definedName>
    <definedName name="EIHD" localSheetId="16">'H1-CUADRO DE CARGAS'!EIHD</definedName>
    <definedName name="EIHD" localSheetId="3">#REF!</definedName>
    <definedName name="EIHD" localSheetId="23">'Tablas Cables'!EIHD</definedName>
    <definedName name="EIHD">[0]!EIHD</definedName>
    <definedName name="EJE">#REF!</definedName>
    <definedName name="elect_equip_id_001">#REF!</definedName>
    <definedName name="elect_load_equip_id_001">#REF!</definedName>
    <definedName name="Elemento" localSheetId="0">#REF!</definedName>
    <definedName name="Elemento">[3]Listas!$G$2:$G$3</definedName>
    <definedName name="Empresa">#REF!</definedName>
    <definedName name="EMULSION">#REF!</definedName>
    <definedName name="End_Bal" localSheetId="15">#REF!</definedName>
    <definedName name="End_Bal" localSheetId="23">#REF!</definedName>
    <definedName name="End_Bal">#REF!</definedName>
    <definedName name="ENERO" hidden="1">{#N/A,#N/A,FALSE,"DMC schedule";#N/A,#N/A,FALSE,"DMC_THC Revenue";#N/A,#N/A,FALSE,"Personnel plan";#N/A,#N/A,FALSE,"Capex HW+SW";#N/A,#N/A,FALSE,"P&amp;L"}</definedName>
    <definedName name="eng_proj_id_001">#REF!</definedName>
    <definedName name="eng_ref_id_001">#REF!</definedName>
    <definedName name="ENTREGABLE">#REF!</definedName>
    <definedName name="eoaph">#REF!</definedName>
    <definedName name="eoapl">#REF!</definedName>
    <definedName name="eocih">#REF!</definedName>
    <definedName name="eocil">#REF!</definedName>
    <definedName name="eomih">#REF!</definedName>
    <definedName name="eomil">#REF!</definedName>
    <definedName name="eomim">#REF!</definedName>
    <definedName name="eomit">#REF!</definedName>
    <definedName name="eosth">#REF!</definedName>
    <definedName name="eostl">#REF!</definedName>
    <definedName name="eottt">#REF!</definedName>
    <definedName name="EPECIALIDAD_SIDOE">#REF!</definedName>
    <definedName name="equip_id_001">#REF!</definedName>
    <definedName name="EQUIPOS">#REF!</definedName>
    <definedName name="eririutriuthdc" localSheetId="19"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eririutriuthdc" localSheetId="22"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eririutriuthdc" localSheetId="16"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eririutriuthdc" localSheetId="2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eririutriuthdc"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ES">#REF!</definedName>
    <definedName name="ESA">#REF!</definedName>
    <definedName name="esca">#REF!</definedName>
    <definedName name="ESTRUCTURA" localSheetId="19" hidden="1">{#N/A,#N/A,TRUE,"INGENIERIA";#N/A,#N/A,TRUE,"COMPRAS";#N/A,#N/A,TRUE,"DIRECCION";#N/A,#N/A,TRUE,"RESUMEN"}</definedName>
    <definedName name="ESTRUCTURA" localSheetId="22" hidden="1">{#N/A,#N/A,TRUE,"INGENIERIA";#N/A,#N/A,TRUE,"COMPRAS";#N/A,#N/A,TRUE,"DIRECCION";#N/A,#N/A,TRUE,"RESUMEN"}</definedName>
    <definedName name="ESTRUCTURA" localSheetId="16" hidden="1">{#N/A,#N/A,TRUE,"INGENIERIA";#N/A,#N/A,TRUE,"COMPRAS";#N/A,#N/A,TRUE,"DIRECCION";#N/A,#N/A,TRUE,"RESUMEN"}</definedName>
    <definedName name="ESTRUCTURA" localSheetId="23" hidden="1">{#N/A,#N/A,TRUE,"INGENIERIA";#N/A,#N/A,TRUE,"COMPRAS";#N/A,#N/A,TRUE,"DIRECCION";#N/A,#N/A,TRUE,"RESUMEN"}</definedName>
    <definedName name="ESTRUCTURA" hidden="1">{#N/A,#N/A,TRUE,"INGENIERIA";#N/A,#N/A,TRUE,"COMPRAS";#N/A,#N/A,TRUE,"DIRECCION";#N/A,#N/A,TRUE,"RESUMEN"}</definedName>
    <definedName name="Estructura_Disponibilidad_Mensualizado_Exportar">#REF!</definedName>
    <definedName name="ETAPA_PACC">#REF!</definedName>
    <definedName name="etertt" localSheetId="19" hidden="1">{#N/A,#N/A,TRUE,"1842CWN0"}</definedName>
    <definedName name="etertt" localSheetId="22" hidden="1">{#N/A,#N/A,TRUE,"1842CWN0"}</definedName>
    <definedName name="etertt" localSheetId="16" hidden="1">{#N/A,#N/A,TRUE,"1842CWN0"}</definedName>
    <definedName name="etertt" localSheetId="23" hidden="1">{#N/A,#N/A,TRUE,"1842CWN0"}</definedName>
    <definedName name="etertt" hidden="1">{#N/A,#N/A,TRUE,"1842CWN0"}</definedName>
    <definedName name="EWW" hidden="1">{#N/A,#N/A,FALSE,"a1";#N/A,#N/A,FALSE,"a2";#N/A,#N/A,FALSE,"a3";#N/A,#N/A,FALSE,"a4a";#N/A,#N/A,FALSE,"a4B";#N/A,#N/A,FALSE,"a4C";#N/A,#N/A,FALSE,"a4D";#N/A,#N/A,FALSE,"A5a ";#N/A,#N/A,FALSE,"A5b";#N/A,#N/A,FALSE,"A6A";#N/A,#N/A,FALSE,"A6B";#N/A,#N/A,FALSE,"A6C";#N/A,#N/A,FALSE,"A6D";#N/A,#N/A,FALSE,"INV"}</definedName>
    <definedName name="EXCAV_1">#REF!</definedName>
    <definedName name="EXCAV_2">#REF!</definedName>
    <definedName name="Excel_BuiltIn_Print_Titles_14">#REF!</definedName>
    <definedName name="Excel_BuiltIn_Print_Titles_18">#REF!</definedName>
    <definedName name="Excel_BuiltIn_Print_Titles_19">#REF!</definedName>
    <definedName name="Extra_Pay" localSheetId="15">#REF!</definedName>
    <definedName name="Extra_Pay" localSheetId="23">#REF!</definedName>
    <definedName name="Extra_Pay">#REF!</definedName>
    <definedName name="Extras">#REF!</definedName>
    <definedName name="F._INGRESO">#REF!</definedName>
    <definedName name="F._RETIRO">#REF!</definedName>
    <definedName name="FA" hidden="1">{#N/A,#N/A,FALSE,"VOL695";#N/A,#N/A,FALSE,"anexo1";#N/A,#N/A,FALSE,"anexo2";#N/A,#N/A,FALSE,"anexo3";#N/A,#N/A,FALSE,"anexo4";#N/A,#N/A,FALSE,"anexo5a";#N/A,#N/A,FALSE,"anexo5b";#N/A,#N/A,FALSE,"anexo6a";#N/A,#N/A,FALSE,"anexo6a";#N/A,#N/A,FALSE,"anexo6c";#N/A,#N/A,FALSE,"anexo7a";#N/A,#N/A,FALSE,"anexo7b";#N/A,#N/A,FALSE,"anexo7c"}</definedName>
    <definedName name="fact">#REF!</definedName>
    <definedName name="fb_dc_cur_001">#REF!</definedName>
    <definedName name="fb_dev_address_001">#REF!</definedName>
    <definedName name="fb_dev_id_001">#REF!</definedName>
    <definedName name="fb_max_volt_001">#REF!</definedName>
    <definedName name="fb_min_transmit_level_001">#REF!</definedName>
    <definedName name="fb_min_volt_001">#REF!</definedName>
    <definedName name="fb_standard_001">#REF!</definedName>
    <definedName name="fb_tag_no_001">#REF!</definedName>
    <definedName name="FCode" hidden="1">#REF!</definedName>
    <definedName name="FDF" localSheetId="22" hidden="1">#REF!</definedName>
    <definedName name="FDF" hidden="1">#REF!</definedName>
    <definedName name="fe_isize_anbsensor_001">#REF!</definedName>
    <definedName name="fe_isize_anbtype_001">#REF!</definedName>
    <definedName name="fe_isize_calctype_indx_001">#REF!</definedName>
    <definedName name="fe_isize_decplaces_001">#REF!</definedName>
    <definedName name="fe_isize_drainvent_indx_001">#REF!</definedName>
    <definedName name="fe_isize_elemmtl_indx_001">#REF!</definedName>
    <definedName name="fe_isize_ifoasize_001">#REF!</definedName>
    <definedName name="fe_isize_ifoatype_001">#REF!</definedName>
    <definedName name="fe_isize_instrtype_indx_001">#REF!</definedName>
    <definedName name="fe_isize_pipemtl_indx_001">#REF!</definedName>
    <definedName name="fe_isize_standard_indx_001">#REF!</definedName>
    <definedName name="fe_isize_wedgehdr_001">#REF!</definedName>
    <definedName name="fe_isize_wedgemodel_001">#REF!</definedName>
    <definedName name="fe_isize_wedgesize_001">#REF!</definedName>
    <definedName name="FechaInicio">#REF!</definedName>
    <definedName name="FechaTermina">#REF!</definedName>
    <definedName name="FF" hidden="1">{#N/A,#N/A,FALSE,"Costos Productos 6A";#N/A,#N/A,FALSE,"Costo Unitario Total H-94-12"}</definedName>
    <definedName name="FFAAFA" hidden="1">{#N/A,#N/A,FALSE,"Upía";#N/A,#N/A,FALSE,"CPR Espinal";#N/A,#N/A,FALSE,"Magangué"}</definedName>
    <definedName name="FFAF.EXE" hidden="1">{#N/A,#N/A,FALSE,"Casanare";#N/A,#N/A,FALSE,"Estero";#N/A,#N/A,FALSE,"Garcero";#N/A,#N/A,FALSE,"Orocué";#N/A,#N/A,FALSE,"Corocora"}</definedName>
    <definedName name="FFF" localSheetId="4">'C.C. '!FFF</definedName>
    <definedName name="FFF" localSheetId="19">'Demanda Trafo A'!FFF</definedName>
    <definedName name="FFF" localSheetId="22">factores!FFF</definedName>
    <definedName name="FFF" localSheetId="16">'H1-CUADRO DE CARGAS'!FFF</definedName>
    <definedName name="FFF" localSheetId="3">'PORTADA '!FFF</definedName>
    <definedName name="FFF" localSheetId="23">'Tablas Cables'!FFF</definedName>
    <definedName name="FFF">[0]!FFF</definedName>
    <definedName name="FFFF" hidden="1">{#N/A,#N/A,FALSE,"VOL695";#N/A,#N/A,FALSE,"anexo1";#N/A,#N/A,FALSE,"anexo2";#N/A,#N/A,FALSE,"anexo3";#N/A,#N/A,FALSE,"anexo4";#N/A,#N/A,FALSE,"anexo5a";#N/A,#N/A,FALSE,"anexo5b";#N/A,#N/A,FALSE,"anexo6a";#N/A,#N/A,FALSE,"anexo6a";#N/A,#N/A,FALSE,"anexo6c";#N/A,#N/A,FALSE,"anexo7a";#N/A,#N/A,FALSE,"anexo7b";#N/A,#N/A,FALSE,"anexo7c"}</definedName>
    <definedName name="FGF" hidden="1">{#N/A,#N/A,FALSE,"DITCAR";#N/A,#N/A,FALSE,"a1";#N/A,#N/A,FALSE,"a2";#N/A,#N/A,FALSE,"a3";#N/A,#N/A,FALSE,"a4";#N/A,#N/A,FALSE,"a4a";#N/A,#N/A,FALSE,"a4B";#N/A,#N/A,FALSE,"a4C";#N/A,#N/A,FALSE,"A5a ";#N/A,#N/A,FALSE,"A5b";#N/A,#N/A,FALSE,"A6A";#N/A,#N/A,FALSE,"A6B";#N/A,#N/A,FALSE,"A6C";#N/A,#N/A,FALSE,"04PG12NB"}</definedName>
    <definedName name="fgrf"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fgrf_1"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fgrf_2"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fhg" localSheetId="19" hidden="1">{#N/A,#N/A,TRUE,"1842CWN0"}</definedName>
    <definedName name="fhg" localSheetId="22" hidden="1">{#N/A,#N/A,TRUE,"1842CWN0"}</definedName>
    <definedName name="fhg" localSheetId="16" hidden="1">{#N/A,#N/A,TRUE,"1842CWN0"}</definedName>
    <definedName name="fhg" localSheetId="23" hidden="1">{#N/A,#N/A,TRUE,"1842CWN0"}</definedName>
    <definedName name="fhg" hidden="1">{#N/A,#N/A,TRUE,"1842CWN0"}</definedName>
    <definedName name="fi">#REF!</definedName>
    <definedName name="FIBER">#REF!</definedName>
    <definedName name="fieldbus_device_rev_001">#REF!</definedName>
    <definedName name="fill1" hidden="1">#REF!</definedName>
    <definedName name="FIO" hidden="1">#REF!</definedName>
    <definedName name="flow_flag_001">#REF!</definedName>
    <definedName name="fluid_id_001">#REF!</definedName>
    <definedName name="fm_amb_temp_001">#REF!</definedName>
    <definedName name="fm_amb_temp_uid_001">#REF!</definedName>
    <definedName name="fm_ann_coef_001">#REF!</definedName>
    <definedName name="fm_ann_exp_fac_001">#REF!</definedName>
    <definedName name="fm_ann_flow_coeff_001">#REF!</definedName>
    <definedName name="fm_ann_reyn_corr_fac_001">#REF!</definedName>
    <definedName name="fm_ann_unit_conv_001">#REF!</definedName>
    <definedName name="fm_beta">#REF!</definedName>
    <definedName name="fm_beta_001">#REF!</definedName>
    <definedName name="fm_beta_lim_001">#REF!</definedName>
    <definedName name="fm_bleed_hole_diam">#REF!</definedName>
    <definedName name="fm_bleed_hole_diam_001">#REF!</definedName>
    <definedName name="fm_bleed_hole_diam_uid_001">#REF!</definedName>
    <definedName name="fm_calc_type_001">#REF!</definedName>
    <definedName name="fm_calculate_gas_exp_fac_001">#REF!</definedName>
    <definedName name="fm_crit_001">#REF!</definedName>
    <definedName name="fm_crit_press_ratio_001">#REF!</definedName>
    <definedName name="fm_critical_flow_001">#REF!</definedName>
    <definedName name="fm_delta_001">#REF!</definedName>
    <definedName name="fm_diff_press_tr">#REF!</definedName>
    <definedName name="fm_diff_press_tr_001">#REF!</definedName>
    <definedName name="fm_diff_press_tr_uid_001">#REF!</definedName>
    <definedName name="fm_disch_coef_001">#REF!</definedName>
    <definedName name="fm_disch_coef_calc_001">#REF!</definedName>
    <definedName name="fm_downstream_len_1st_fit1_001">#REF!</definedName>
    <definedName name="fm_flow_max_001">#REF!</definedName>
    <definedName name="fm_flow_uflg_001">#REF!</definedName>
    <definedName name="fm_flow_uid_001">#REF!</definedName>
    <definedName name="fm_gas_exp_fac_001">#REF!</definedName>
    <definedName name="fm_meter_type_001">#REF!</definedName>
    <definedName name="fm_oper_flow_001">#REF!</definedName>
    <definedName name="fm_orif_diam">#REF!</definedName>
    <definedName name="fm_orif_diam_001">#REF!</definedName>
    <definedName name="fm_orif_diam_uid_001">#REF!</definedName>
    <definedName name="fm_orif_lim_001">#REF!</definedName>
    <definedName name="fm_orif_lin_exp_coef_001">#REF!</definedName>
    <definedName name="fm_orif_lin_exp_uid_001">#REF!</definedName>
    <definedName name="fm_orif_mat_001">#REF!</definedName>
    <definedName name="fm_orif_mat_id_001">#REF!</definedName>
    <definedName name="fm_pipe_lim_001">#REF!</definedName>
    <definedName name="fm_pipe_lin_exp_coef_001">#REF!</definedName>
    <definedName name="fm_pipe_lin_exp_uid_001">#REF!</definedName>
    <definedName name="fm_pipe_mat_001">#REF!</definedName>
    <definedName name="fm_press_loss_001">#REF!</definedName>
    <definedName name="fm_press_loss_max_001">#REF!</definedName>
    <definedName name="fm_press_loss_max_15_001">#REF!</definedName>
    <definedName name="fm_press_loss_nor_001">#REF!</definedName>
    <definedName name="fm_press_loss_nor_15_001">#REF!</definedName>
    <definedName name="fm_press_loss_uid_001">#REF!</definedName>
    <definedName name="fm_rad_quart_001">#REF!</definedName>
    <definedName name="fm_radius_001">#REF!</definedName>
    <definedName name="fm_radius_uid_001">#REF!</definedName>
    <definedName name="fm_rect_height_001">#REF!</definedName>
    <definedName name="fm_rect_uid_001">#REF!</definedName>
    <definedName name="fm_rect_width_001">#REF!</definedName>
    <definedName name="fm_reyn">#REF!</definedName>
    <definedName name="fm_reyn_001">#REF!</definedName>
    <definedName name="fm_reyn_lim_001">#REF!</definedName>
    <definedName name="fm_seg_height_001">#REF!</definedName>
    <definedName name="fm_seg_radius_001">#REF!</definedName>
    <definedName name="fm_seg_uid_001">#REF!</definedName>
    <definedName name="fm_steam_fac_001">#REF!</definedName>
    <definedName name="fm_steam_prcnt_001">#REF!</definedName>
    <definedName name="fm_sub_meter_type_001">#REF!</definedName>
    <definedName name="fm_true_flow_max_001">#REF!</definedName>
    <definedName name="fm_upstream_len_1st_fit1_001">#REF!</definedName>
    <definedName name="fm_upstream_len_1st_fit11_001">#REF!</definedName>
    <definedName name="fm_upstream_len_2nd_fit1_001">#REF!</definedName>
    <definedName name="fm_upstream_len_2nd_fit11_001">#REF!</definedName>
    <definedName name="FOABS_">#REF!</definedName>
    <definedName name="forero" localSheetId="4">'C.C. '!forero</definedName>
    <definedName name="forero" localSheetId="19">'Demanda Trafo A'!forero</definedName>
    <definedName name="forero" localSheetId="22">factores!forero</definedName>
    <definedName name="forero" localSheetId="16">'H1-CUADRO DE CARGAS'!forero</definedName>
    <definedName name="forero" localSheetId="3">'PORTADA '!forero</definedName>
    <definedName name="forero" localSheetId="23">'Tablas Cables'!forero</definedName>
    <definedName name="forero">[0]!forero</definedName>
    <definedName name="forma96100" hidden="1">{#N/A,#N/A,FALSE,"CIBHA05A";#N/A,#N/A,FALSE,"CIBHA05B"}</definedName>
    <definedName name="fORMA9698" localSheetId="4" hidden="1">{#N/A,#N/A,FALSE,"CIBHA05A";#N/A,#N/A,FALSE,"CIBHA05B"}</definedName>
    <definedName name="fORMA9698" localSheetId="19" hidden="1">{#N/A,#N/A,FALSE,"CIBHA05A";#N/A,#N/A,FALSE,"CIBHA05B"}</definedName>
    <definedName name="fORMA9698" localSheetId="16" hidden="1">{#N/A,#N/A,FALSE,"CIBHA05A";#N/A,#N/A,FALSE,"CIBHA05B"}</definedName>
    <definedName name="fORMA9698" localSheetId="3" hidden="1">{#N/A,#N/A,FALSE,"CIBHA05A";#N/A,#N/A,FALSE,"CIBHA05B"}</definedName>
    <definedName name="fORMA9698" localSheetId="15" hidden="1">{#N/A,#N/A,FALSE,"CIBHA05A";#N/A,#N/A,FALSE,"CIBHA05B"}</definedName>
    <definedName name="fORMA9698" localSheetId="23" hidden="1">{#N/A,#N/A,FALSE,"CIBHA05A";#N/A,#N/A,FALSE,"CIBHA05B"}</definedName>
    <definedName name="fORMA9698" localSheetId="0" hidden="1">{#N/A,#N/A,FALSE,"CIBHA05A";#N/A,#N/A,FALSE,"CIBHA05B"}</definedName>
    <definedName name="fORMA9698" hidden="1">{#N/A,#N/A,FALSE,"CIBHA05A";#N/A,#N/A,FALSE,"CIBHA05B"}</definedName>
    <definedName name="forma9699" hidden="1">{#N/A,#N/A,FALSE,"CIBHA05A";#N/A,#N/A,FALSE,"CIBHA05B"}</definedName>
    <definedName name="FORMAUNIT" localSheetId="4" hidden="1">{#N/A,#N/A,FALSE,"Costos Productos 6A";#N/A,#N/A,FALSE,"Costo Unitario Total H-94-12"}</definedName>
    <definedName name="FORMAUNIT" localSheetId="19" hidden="1">{#N/A,#N/A,FALSE,"Costos Productos 6A";#N/A,#N/A,FALSE,"Costo Unitario Total H-94-12"}</definedName>
    <definedName name="FORMAUNIT" localSheetId="16" hidden="1">{#N/A,#N/A,FALSE,"Costos Productos 6A";#N/A,#N/A,FALSE,"Costo Unitario Total H-94-12"}</definedName>
    <definedName name="FORMAUNIT" localSheetId="3" hidden="1">{#N/A,#N/A,FALSE,"Costos Productos 6A";#N/A,#N/A,FALSE,"Costo Unitario Total H-94-12"}</definedName>
    <definedName name="FORMAUNIT" localSheetId="15" hidden="1">{#N/A,#N/A,FALSE,"Costos Productos 6A";#N/A,#N/A,FALSE,"Costo Unitario Total H-94-12"}</definedName>
    <definedName name="FORMAUNIT" localSheetId="23" hidden="1">{#N/A,#N/A,FALSE,"Costos Productos 6A";#N/A,#N/A,FALSE,"Costo Unitario Total H-94-12"}</definedName>
    <definedName name="FORMAUNIT" localSheetId="0" hidden="1">{#N/A,#N/A,FALSE,"Costos Productos 6A";#N/A,#N/A,FALSE,"Costo Unitario Total H-94-12"}</definedName>
    <definedName name="FORMAUNIT" hidden="1">{#N/A,#N/A,FALSE,"Costos Productos 6A";#N/A,#N/A,FALSE,"Costo Unitario Total H-94-12"}</definedName>
    <definedName name="frequency_id_001">#REF!</definedName>
    <definedName name="fsd"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 name="full_load_current_001">#REF!</definedName>
    <definedName name="Full_Print" localSheetId="15">#REF!</definedName>
    <definedName name="Full_Print" localSheetId="23">#REF!</definedName>
    <definedName name="Full_Print">#REF!</definedName>
    <definedName name="full_weight_001">#REF!</definedName>
    <definedName name="G" localSheetId="4">#REF!</definedName>
    <definedName name="G" localSheetId="3">#REF!</definedName>
    <definedName name="G" hidden="1">{"krl1",#N/A,FALSE,"kr";"krl2",#N/A,FALSE,"kr";"compara",#N/A,FALSE,"kr";"desconp1",#N/A,FALSE,"kr";"desconp12",#N/A,FALSE,"kr";"krnp1",#N/A,FALSE,"kr";"krnp2",#N/A,FALSE,"kr";"krp12avg",#N/A,FALSE,"kr";"krp1avg",#N/A,FALSE,"kr"}</definedName>
    <definedName name="G_C1">#REF!</definedName>
    <definedName name="G_C10">#REF!</definedName>
    <definedName name="G_C11">#REF!</definedName>
    <definedName name="G_C12">#REF!</definedName>
    <definedName name="G_C13">#REF!</definedName>
    <definedName name="G_C14">#REF!</definedName>
    <definedName name="G_C15">#REF!</definedName>
    <definedName name="G_C16">#REF!</definedName>
    <definedName name="G_C17">#REF!</definedName>
    <definedName name="G_C18">#REF!</definedName>
    <definedName name="G_C19">#REF!</definedName>
    <definedName name="G_C2">#REF!</definedName>
    <definedName name="G_C20">#REF!</definedName>
    <definedName name="G_C21">#REF!</definedName>
    <definedName name="G_C22">#REF!</definedName>
    <definedName name="G_C3">#REF!</definedName>
    <definedName name="G_C4">#REF!</definedName>
    <definedName name="G_C5">#REF!</definedName>
    <definedName name="G_C6">#REF!</definedName>
    <definedName name="G_C7">#REF!</definedName>
    <definedName name="G_C8">#REF!</definedName>
    <definedName name="G_C9">#REF!</definedName>
    <definedName name="GALAN_1">#REF!</definedName>
    <definedName name="GALAN_2">#REF!</definedName>
    <definedName name="GALAN_3">#REF!</definedName>
    <definedName name="GAS">#REF!</definedName>
    <definedName name="GCB">#REF!</definedName>
    <definedName name="GCI">#REF!</definedName>
    <definedName name="GCN">#REF!</definedName>
    <definedName name="GCP">#REF!</definedName>
    <definedName name="GDN">#REF!</definedName>
    <definedName name="GDR">#REF!</definedName>
    <definedName name="GEA">#REF!</definedName>
    <definedName name="GEA1_1">#REF!</definedName>
    <definedName name="GEA1_1_1">#REF!</definedName>
    <definedName name="GEA1_1_10">#REF!</definedName>
    <definedName name="GEA1_1_2">#REF!</definedName>
    <definedName name="GEA1_1_3">#REF!</definedName>
    <definedName name="GEA1_1_4">#REF!</definedName>
    <definedName name="GEA1_1_5">#REF!</definedName>
    <definedName name="GEA1_1_6">#REF!</definedName>
    <definedName name="GEA1_1_7">#REF!</definedName>
    <definedName name="GEA1_1_8">#REF!</definedName>
    <definedName name="GEA1_1_9">#REF!</definedName>
    <definedName name="GEA1_2">#REF!</definedName>
    <definedName name="GEA1_3">#REF!</definedName>
    <definedName name="GEA1_4">#REF!</definedName>
    <definedName name="GEC">#REF!</definedName>
    <definedName name="GEC_ON_DAPIAY">#REF!</definedName>
    <definedName name="GEC_ON_GER">#REF!</definedName>
    <definedName name="GENERAL">#REF!</definedName>
    <definedName name="GERENCIA">#REF!</definedName>
    <definedName name="GERENCIA1">#REF!</definedName>
    <definedName name="GERENCIA2">#REF!</definedName>
    <definedName name="GERENCIAL" hidden="1">{#N/A,#N/A,FALSE,"DMC schedule";#N/A,#N/A,FALSE,"DMC_THC Revenue";#N/A,#N/A,FALSE,"Personnel plan";#N/A,#N/A,FALSE,"Capex HW+SW";#N/A,#N/A,FALSE,"P&amp;L"}</definedName>
    <definedName name="Gerente">#REF!</definedName>
    <definedName name="GERMAN" hidden="1">{"COSOPE98",#N/A,FALSE,"COSOPE98";"COSOPE97",#N/A,FALSE,"COSOPE97";"GASECP98",#N/A,FALSE,"GASECP98";"GAS10098",#N/A,FALSE,"GAS10098";"GASECP97",#N/A,FALSE,"GASECP97";"GAS10097",#N/A,FALSE,"GAS10097";"INVECP98",#N/A,FALSE,"INVECP98";"INV10098",#N/A,FALSE,"INV10098";"INVECP97",#N/A,FALSE,"INVECP97";"INV10097",#N/A,FALSE,"INV10097"}</definedName>
    <definedName name="GERMAN1" hidden="1">{"COSOPE98",#N/A,FALSE,"COSOPE98";"COSOPE97",#N/A,FALSE,"COSOPE97";"GASECP98",#N/A,FALSE,"GASECP98";"GAS10098",#N/A,FALSE,"GAS10098";"GASECP97",#N/A,FALSE,"GASECP97";"GAS10097",#N/A,FALSE,"GAS10097";"INVECP98",#N/A,FALSE,"INVECP98";"INV10098",#N/A,FALSE,"INV10098";"INVECP97",#N/A,FALSE,"INVECP97";"INV10097",#N/A,FALSE,"INV10097"}</definedName>
    <definedName name="gffgfhhf" localSheetId="19" hidden="1">{#N/A,#N/A,TRUE,"INGENIERIA";#N/A,#N/A,TRUE,"COMPRAS";#N/A,#N/A,TRUE,"DIRECCION";#N/A,#N/A,TRUE,"RESUMEN"}</definedName>
    <definedName name="gffgfhhf" localSheetId="22" hidden="1">{#N/A,#N/A,TRUE,"INGENIERIA";#N/A,#N/A,TRUE,"COMPRAS";#N/A,#N/A,TRUE,"DIRECCION";#N/A,#N/A,TRUE,"RESUMEN"}</definedName>
    <definedName name="gffgfhhf" localSheetId="16" hidden="1">{#N/A,#N/A,TRUE,"INGENIERIA";#N/A,#N/A,TRUE,"COMPRAS";#N/A,#N/A,TRUE,"DIRECCION";#N/A,#N/A,TRUE,"RESUMEN"}</definedName>
    <definedName name="gffgfhhf" localSheetId="23" hidden="1">{#N/A,#N/A,TRUE,"INGENIERIA";#N/A,#N/A,TRUE,"COMPRAS";#N/A,#N/A,TRUE,"DIRECCION";#N/A,#N/A,TRUE,"RESUMEN"}</definedName>
    <definedName name="gffgfhhf" hidden="1">{#N/A,#N/A,TRUE,"INGENIERIA";#N/A,#N/A,TRUE,"COMPRAS";#N/A,#N/A,TRUE,"DIRECCION";#N/A,#N/A,TRUE,"RESUMEN"}</definedName>
    <definedName name="GFN">#REF!</definedName>
    <definedName name="gfrdxc"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gg" localSheetId="19">Scheduled_Payment+Extra_Payment</definedName>
    <definedName name="gg" localSheetId="16">Scheduled_Payment+Extra_Payment</definedName>
    <definedName name="gg" localSheetId="13">Scheduled_Payment+Extra_Payment</definedName>
    <definedName name="gg" localSheetId="15">Scheduled_Payment+Extra_Payment</definedName>
    <definedName name="gg" localSheetId="23">Scheduled_Payment+Extra_Payment</definedName>
    <definedName name="gg" localSheetId="0">Scheduled_Payment+Extra_Payment</definedName>
    <definedName name="gg">Scheduled_Payment+Extra_Payment</definedName>
    <definedName name="ggjgjkg" localSheetId="19" hidden="1">{#N/A,#N/A,TRUE,"1842CWN0"}</definedName>
    <definedName name="ggjgjkg" localSheetId="22" hidden="1">{#N/A,#N/A,TRUE,"1842CWN0"}</definedName>
    <definedName name="ggjgjkg" localSheetId="16" hidden="1">{#N/A,#N/A,TRUE,"1842CWN0"}</definedName>
    <definedName name="ggjgjkg" localSheetId="23" hidden="1">{#N/A,#N/A,TRUE,"1842CWN0"}</definedName>
    <definedName name="ggjgjkg" hidden="1">{#N/A,#N/A,TRUE,"1842CWN0"}</definedName>
    <definedName name="ghnbbfr" localSheetId="19" hidden="1">{#N/A,#N/A,TRUE,"1842CWN0"}</definedName>
    <definedName name="ghnbbfr" localSheetId="22" hidden="1">{#N/A,#N/A,TRUE,"1842CWN0"}</definedName>
    <definedName name="ghnbbfr" localSheetId="16" hidden="1">{#N/A,#N/A,TRUE,"1842CWN0"}</definedName>
    <definedName name="ghnbbfr" localSheetId="23" hidden="1">{#N/A,#N/A,TRUE,"1842CWN0"}</definedName>
    <definedName name="ghnbbfr" hidden="1">{#N/A,#N/A,TRUE,"1842CWN0"}</definedName>
    <definedName name="GLPE_">#REF!</definedName>
    <definedName name="GMEA_">#REF!</definedName>
    <definedName name="GMEB_">#REF!</definedName>
    <definedName name="GMM_ON_ASO">#REF!</definedName>
    <definedName name="GMM_ON_DMARES">#REF!</definedName>
    <definedName name="GMM_ON_DRIO">#REF!</definedName>
    <definedName name="GMRA_">#REF!</definedName>
    <definedName name="GMRB_">#REF!</definedName>
    <definedName name="GOEB_">#REF!</definedName>
    <definedName name="GOEEP">#REF!</definedName>
    <definedName name="GORNAR_">#REF!</definedName>
    <definedName name="GOT">#REF!</definedName>
    <definedName name="governing_case_001">#REF!</definedName>
    <definedName name="GPO">#REF!</definedName>
    <definedName name="GPR">#REF!</definedName>
    <definedName name="_xlnm.Recorder">#REF!</definedName>
    <definedName name="GRAF" hidden="1">{#N/A,#N/A,FALSE,"SMT1";#N/A,#N/A,FALSE,"SMT2";#N/A,#N/A,FALSE,"Summary";#N/A,#N/A,FALSE,"Graphs";#N/A,#N/A,FALSE,"4 Panel"}</definedName>
    <definedName name="GRC">#REF!</definedName>
    <definedName name="GRC_ON_ASO">#REF!</definedName>
    <definedName name="GRC_ON_DAPIAY">#REF!</definedName>
    <definedName name="GRC_ON_GER">#REF!</definedName>
    <definedName name="GRCHIS0599" localSheetId="4" hidden="1">{#N/A,#N/A,FALSE,"Costos Productos 6A";#N/A,#N/A,FALSE,"Costo Unitario Total H-94-12"}</definedName>
    <definedName name="GRCHIS0599" localSheetId="19" hidden="1">{#N/A,#N/A,FALSE,"Costos Productos 6A";#N/A,#N/A,FALSE,"Costo Unitario Total H-94-12"}</definedName>
    <definedName name="GRCHIS0599" localSheetId="16" hidden="1">{#N/A,#N/A,FALSE,"Costos Productos 6A";#N/A,#N/A,FALSE,"Costo Unitario Total H-94-12"}</definedName>
    <definedName name="GRCHIS0599" localSheetId="3" hidden="1">{#N/A,#N/A,FALSE,"Costos Productos 6A";#N/A,#N/A,FALSE,"Costo Unitario Total H-94-12"}</definedName>
    <definedName name="GRCHIS0599" localSheetId="15" hidden="1">{#N/A,#N/A,FALSE,"Costos Productos 6A";#N/A,#N/A,FALSE,"Costo Unitario Total H-94-12"}</definedName>
    <definedName name="GRCHIS0599" localSheetId="23" hidden="1">{#N/A,#N/A,FALSE,"Costos Productos 6A";#N/A,#N/A,FALSE,"Costo Unitario Total H-94-12"}</definedName>
    <definedName name="GRCHIS0599" localSheetId="0" hidden="1">{#N/A,#N/A,FALSE,"Costos Productos 6A";#N/A,#N/A,FALSE,"Costo Unitario Total H-94-12"}</definedName>
    <definedName name="GRCHIS0599" hidden="1">{#N/A,#N/A,FALSE,"Costos Productos 6A";#N/A,#N/A,FALSE,"Costo Unitario Total H-94-12"}</definedName>
    <definedName name="GRM">#REF!</definedName>
    <definedName name="GRM_ON_DMARES">#REF!</definedName>
    <definedName name="GRM_ON_DRIO">#REF!</definedName>
    <definedName name="GRN">#REF!</definedName>
    <definedName name="GRN_ON_ASO">#REF!</definedName>
    <definedName name="GRN_ON_DIREC">#REF!</definedName>
    <definedName name="GRS">#REF!</definedName>
    <definedName name="GRS_ON_ASO">#REF!</definedName>
    <definedName name="GRS_ON_DIREC">#REF!</definedName>
    <definedName name="GRS_ON_HUIL">#REF!</definedName>
    <definedName name="GTC">#REF!</definedName>
    <definedName name="GTE">#REF!</definedName>
    <definedName name="GTO_ADMON">#REF!</definedName>
    <definedName name="GTO_INVEST">#REF!</definedName>
    <definedName name="GTO_OPERA">#REF!</definedName>
    <definedName name="GTP">#REF!</definedName>
    <definedName name="GTRF" hidden="1">{#N/A,#N/A,FALSE,"Full";#N/A,#N/A,FALSE,"Half";#N/A,#N/A,FALSE,"Op Expenses";#N/A,#N/A,FALSE,"Cap Charge";#N/A,#N/A,FALSE,"Cost C";#N/A,#N/A,FALSE,"PP&amp;E";#N/A,#N/A,FALSE,"R&amp;D"}</definedName>
    <definedName name="GUANÍA">#REF!</definedName>
    <definedName name="Guardar_datos" localSheetId="4">#REF!</definedName>
    <definedName name="Guardar_datos" localSheetId="19">'Demanda Trafo A'!Guardar_datos</definedName>
    <definedName name="Guardar_datos" localSheetId="22">factores!Guardar_datos</definedName>
    <definedName name="Guardar_datos" localSheetId="16">'H1-CUADRO DE CARGAS'!Guardar_datos</definedName>
    <definedName name="Guardar_datos" localSheetId="3">#REF!</definedName>
    <definedName name="Guardar_datos" localSheetId="23">'Tablas Cables'!Guardar_datos</definedName>
    <definedName name="Guardar_datos">[0]!Guardar_datos</definedName>
    <definedName name="Guardar_Datos_del_Dia" localSheetId="4">#REF!</definedName>
    <definedName name="Guardar_Datos_del_Dia" localSheetId="19">'Demanda Trafo A'!Guardar_Datos_del_Dia</definedName>
    <definedName name="Guardar_Datos_del_Dia" localSheetId="22">factores!Guardar_Datos_del_Dia</definedName>
    <definedName name="Guardar_Datos_del_Dia" localSheetId="16">'H1-CUADRO DE CARGAS'!Guardar_Datos_del_Dia</definedName>
    <definedName name="Guardar_Datos_del_Dia" localSheetId="3">#REF!</definedName>
    <definedName name="Guardar_Datos_del_Dia" localSheetId="23">'Tablas Cables'!Guardar_Datos_del_Dia</definedName>
    <definedName name="Guardar_Datos_del_Dia">[0]!Guardar_Datos_del_Dia</definedName>
    <definedName name="Guardar_Datos_Indice_energìa" localSheetId="4">#REF!</definedName>
    <definedName name="Guardar_Datos_Indice_energìa" localSheetId="19">'Demanda Trafo A'!Guardar_Datos_Indice_energìa</definedName>
    <definedName name="Guardar_Datos_Indice_energìa" localSheetId="22">factores!Guardar_Datos_Indice_energìa</definedName>
    <definedName name="Guardar_Datos_Indice_energìa" localSheetId="16">'H1-CUADRO DE CARGAS'!Guardar_Datos_Indice_energìa</definedName>
    <definedName name="Guardar_Datos_Indice_energìa" localSheetId="3">#REF!</definedName>
    <definedName name="Guardar_Datos_Indice_energìa" localSheetId="23">'Tablas Cables'!Guardar_Datos_Indice_energìa</definedName>
    <definedName name="Guardar_Datos_Indice_energìa">[0]!Guardar_Datos_Indice_energìa</definedName>
    <definedName name="Guardar_del_Dia" localSheetId="4">#REF!</definedName>
    <definedName name="Guardar_del_Dia" localSheetId="19">'Demanda Trafo A'!Guardar_del_Dia</definedName>
    <definedName name="Guardar_del_Dia" localSheetId="22">factores!Guardar_del_Dia</definedName>
    <definedName name="Guardar_del_Dia" localSheetId="16">'H1-CUADRO DE CARGAS'!Guardar_del_Dia</definedName>
    <definedName name="Guardar_del_Dia" localSheetId="3">#REF!</definedName>
    <definedName name="Guardar_del_Dia" localSheetId="23">'Tablas Cables'!Guardar_del_Dia</definedName>
    <definedName name="Guardar_del_Dia">[0]!Guardar_del_Dia</definedName>
    <definedName name="GUARDAR_EN_RED" localSheetId="4">#REF!</definedName>
    <definedName name="GUARDAR_EN_RED" localSheetId="19">'Demanda Trafo A'!GUARDAR_EN_RED</definedName>
    <definedName name="GUARDAR_EN_RED" localSheetId="22">factores!GUARDAR_EN_RED</definedName>
    <definedName name="GUARDAR_EN_RED" localSheetId="16">'H1-CUADRO DE CARGAS'!GUARDAR_EN_RED</definedName>
    <definedName name="GUARDAR_EN_RED" localSheetId="3">#REF!</definedName>
    <definedName name="GUARDAR_EN_RED" localSheetId="23">'Tablas Cables'!GUARDAR_EN_RED</definedName>
    <definedName name="GUARDAR_EN_RED">[0]!GUARDAR_EN_RED</definedName>
    <definedName name="GUARDAR_REPORTE" localSheetId="4">#REF!</definedName>
    <definedName name="GUARDAR_REPORTE" localSheetId="19">'Demanda Trafo A'!GUARDAR_REPORTE</definedName>
    <definedName name="GUARDAR_REPORTE" localSheetId="22">factores!GUARDAR_REPORTE</definedName>
    <definedName name="GUARDAR_REPORTE" localSheetId="16">'H1-CUADRO DE CARGAS'!GUARDAR_REPORTE</definedName>
    <definedName name="GUARDAR_REPORTE" localSheetId="3">#REF!</definedName>
    <definedName name="GUARDAR_REPORTE" localSheetId="23">'Tablas Cables'!GUARDAR_REPORTE</definedName>
    <definedName name="GUARDAR_REPORTE">[0]!GUARDAR_REPORTE</definedName>
    <definedName name="GUAVIARE">#REF!</definedName>
    <definedName name="GUS" hidden="1">{#N/A,#N/A,FALSE,"Costos Productos 6A";#N/A,#N/A,FALSE,"Costo Unitario Total H-94-12"}</definedName>
    <definedName name="GUSTAVO" hidden="1">{#N/A,#N/A,FALSE,"Costos Productos 6A";#N/A,#N/A,FALSE,"Costo Unitario Total H-94-12"}</definedName>
    <definedName name="h" localSheetId="15">#REF!</definedName>
    <definedName name="h" localSheetId="23">#REF!</definedName>
    <definedName name="h">#REF!</definedName>
    <definedName name="HC_ELE">#REF!</definedName>
    <definedName name="HC_INS">#REF!</definedName>
    <definedName name="Header_Row" localSheetId="13" hidden="1">ROW(#REF!)</definedName>
    <definedName name="Header_Row" localSheetId="15" hidden="1">ROW(#REF!)</definedName>
    <definedName name="Header_Row" hidden="1">ROW(#REF!)</definedName>
    <definedName name="HEX_">#REF!</definedName>
    <definedName name="HH">#REF!</definedName>
    <definedName name="hhg" localSheetId="19" hidden="1">{#N/A,#N/A,TRUE,"1842CWN0"}</definedName>
    <definedName name="hhg" localSheetId="22" hidden="1">{#N/A,#N/A,TRUE,"1842CWN0"}</definedName>
    <definedName name="hhg" localSheetId="16" hidden="1">{#N/A,#N/A,TRUE,"1842CWN0"}</definedName>
    <definedName name="hhg" localSheetId="23" hidden="1">{#N/A,#N/A,TRUE,"1842CWN0"}</definedName>
    <definedName name="hhg" hidden="1">{#N/A,#N/A,TRUE,"1842CWN0"}</definedName>
    <definedName name="HHHH" hidden="1">{#N/A,#N/A,FALSE,"CPR Santana"}</definedName>
    <definedName name="HHYYTJ" hidden="1">{#N/A,#N/A,FALSE,"Cravo Norte"}</definedName>
    <definedName name="HiddenRows" hidden="1">#REF!</definedName>
    <definedName name="HISTORICO" localSheetId="4" hidden="1">{#N/A,#N/A,FALSE,"Costos Productos 6A";#N/A,#N/A,FALSE,"Costo Unitario Total H-94-12"}</definedName>
    <definedName name="HISTORICO" localSheetId="19" hidden="1">{#N/A,#N/A,FALSE,"Costos Productos 6A";#N/A,#N/A,FALSE,"Costo Unitario Total H-94-12"}</definedName>
    <definedName name="HISTORICO" localSheetId="16" hidden="1">{#N/A,#N/A,FALSE,"Costos Productos 6A";#N/A,#N/A,FALSE,"Costo Unitario Total H-94-12"}</definedName>
    <definedName name="HISTORICO" localSheetId="3" hidden="1">{#N/A,#N/A,FALSE,"Costos Productos 6A";#N/A,#N/A,FALSE,"Costo Unitario Total H-94-12"}</definedName>
    <definedName name="HISTORICO" localSheetId="15" hidden="1">{#N/A,#N/A,FALSE,"Costos Productos 6A";#N/A,#N/A,FALSE,"Costo Unitario Total H-94-12"}</definedName>
    <definedName name="HISTORICO" localSheetId="23" hidden="1">{#N/A,#N/A,FALSE,"Costos Productos 6A";#N/A,#N/A,FALSE,"Costo Unitario Total H-94-12"}</definedName>
    <definedName name="HISTORICO" localSheetId="0" hidden="1">{#N/A,#N/A,FALSE,"Costos Productos 6A";#N/A,#N/A,FALSE,"Costo Unitario Total H-94-12"}</definedName>
    <definedName name="HISTORICO" hidden="1">{#N/A,#N/A,FALSE,"Costos Productos 6A";#N/A,#N/A,FALSE,"Costo Unitario Total H-94-12"}</definedName>
    <definedName name="hjfhgfjdhgjfg" hidden="1">#REF!</definedName>
    <definedName name="HJVH" hidden="1">#REF!</definedName>
    <definedName name="HLL_ELE">#REF!</definedName>
    <definedName name="HLL_INS">#REF!</definedName>
    <definedName name="HOJA">#REF!</definedName>
    <definedName name="hola" hidden="1">#REF!</definedName>
    <definedName name="HOMM" localSheetId="4">#REF!</definedName>
    <definedName name="HOMM" localSheetId="19">'Demanda Trafo A'!HOMM</definedName>
    <definedName name="HOMM" localSheetId="22">factores!HOMM</definedName>
    <definedName name="HOMM" localSheetId="16">'H1-CUADRO DE CARGAS'!HOMM</definedName>
    <definedName name="HOMM" localSheetId="3">#REF!</definedName>
    <definedName name="HOMM" localSheetId="23">'Tablas Cables'!HOMM</definedName>
    <definedName name="HOMM">[0]!HOMM</definedName>
    <definedName name="HP" localSheetId="0">#REF!</definedName>
    <definedName name="HP">[7]Motor!$C$14</definedName>
    <definedName name="HSIT" localSheetId="4" hidden="1">{#N/A,#N/A,FALSE,"CIBHA05A";#N/A,#N/A,FALSE,"CIBHA05B"}</definedName>
    <definedName name="HSIT" localSheetId="19" hidden="1">{#N/A,#N/A,FALSE,"CIBHA05A";#N/A,#N/A,FALSE,"CIBHA05B"}</definedName>
    <definedName name="HSIT" localSheetId="16" hidden="1">{#N/A,#N/A,FALSE,"CIBHA05A";#N/A,#N/A,FALSE,"CIBHA05B"}</definedName>
    <definedName name="HSIT" localSheetId="3" hidden="1">{#N/A,#N/A,FALSE,"CIBHA05A";#N/A,#N/A,FALSE,"CIBHA05B"}</definedName>
    <definedName name="HSIT" localSheetId="15" hidden="1">{#N/A,#N/A,FALSE,"CIBHA05A";#N/A,#N/A,FALSE,"CIBHA05B"}</definedName>
    <definedName name="HSIT" localSheetId="23" hidden="1">{#N/A,#N/A,FALSE,"CIBHA05A";#N/A,#N/A,FALSE,"CIBHA05B"}</definedName>
    <definedName name="HSIT" localSheetId="0" hidden="1">{#N/A,#N/A,FALSE,"CIBHA05A";#N/A,#N/A,FALSE,"CIBHA05B"}</definedName>
    <definedName name="HSIT" hidden="1">{#N/A,#N/A,FALSE,"CIBHA05A";#N/A,#N/A,FALSE,"CIBHA05B"}</definedName>
    <definedName name="HSO_ELE">#REF!</definedName>
    <definedName name="HSO_INS">#REF!</definedName>
    <definedName name="HTML_C" hidden="1">{"'A21005'!$A$3:$M$5"}</definedName>
    <definedName name="HTML_CodePage" hidden="1">1252</definedName>
    <definedName name="HTML_Control" hidden="1">{"'A21005'!$A$3:$M$5"}</definedName>
    <definedName name="HTML_Description" hidden="1">""</definedName>
    <definedName name="HTML_Email" hidden="1">""</definedName>
    <definedName name="HTML_Header" hidden="1">"A21005"</definedName>
    <definedName name="HTML_LastUpdate" hidden="1">"31/08/00"</definedName>
    <definedName name="HTML_LineAfter" hidden="1">TRUE</definedName>
    <definedName name="HTML_LineBefore" hidden="1">TRUE</definedName>
    <definedName name="HTML_Name" hidden="1">"Gerencia Llanos"</definedName>
    <definedName name="HTML_OBDlg2" hidden="1">TRUE</definedName>
    <definedName name="HTML_OBDlg4" hidden="1">TRUE</definedName>
    <definedName name="HTML_OS" hidden="1">0</definedName>
    <definedName name="HTML_PathFile" hidden="1">"C:\Mis documentos\HTML.htm"</definedName>
    <definedName name="HTML_Title" hidden="1">"FORMATO-1"</definedName>
    <definedName name="Hub">#REF!</definedName>
    <definedName name="HUGO" hidden="1">#REF!</definedName>
    <definedName name="HUILA">#REF!</definedName>
    <definedName name="hut">#REF!</definedName>
    <definedName name="hybrid_max_001">#REF!</definedName>
    <definedName name="hybrid_min_001">#REF!</definedName>
    <definedName name="hybrid_norm_001">#REF!</definedName>
    <definedName name="icblh">#REF!</definedName>
    <definedName name="icbll">#REF!</definedName>
    <definedName name="icblm">#REF!</definedName>
    <definedName name="icblt">#REF!</definedName>
    <definedName name="iccoh">#REF!</definedName>
    <definedName name="iccol">#REF!</definedName>
    <definedName name="iccom">#REF!</definedName>
    <definedName name="iccot">#REF!</definedName>
    <definedName name="iccsh">#REF!</definedName>
    <definedName name="iccsl">#REF!</definedName>
    <definedName name="iccsm">#REF!</definedName>
    <definedName name="iccst">#REF!</definedName>
    <definedName name="icelh">#REF!</definedName>
    <definedName name="icell">#REF!</definedName>
    <definedName name="icemm">#REF!</definedName>
    <definedName name="iceom">#REF!</definedName>
    <definedName name="icett">#REF!</definedName>
    <definedName name="iclbm">#REF!</definedName>
    <definedName name="iclem">#REF!</definedName>
    <definedName name="icllh">#REF!</definedName>
    <definedName name="iclll">#REF!</definedName>
    <definedName name="icltt">#REF!</definedName>
    <definedName name="ICP">#REF!</definedName>
    <definedName name="ICP1_1">#REF!</definedName>
    <definedName name="ICP1_1_1">#REF!</definedName>
    <definedName name="ICP1_1_2">#REF!</definedName>
    <definedName name="ICP1_1_3">#REF!</definedName>
    <definedName name="ICP1_1_4">#REF!</definedName>
    <definedName name="ICP1_2">#REF!</definedName>
    <definedName name="ICP1_3">#REF!</definedName>
    <definedName name="ICP1_4">#REF!</definedName>
    <definedName name="icpah">#REF!</definedName>
    <definedName name="icpal">#REF!</definedName>
    <definedName name="icpam">#REF!</definedName>
    <definedName name="icpat">#REF!</definedName>
    <definedName name="icpbm">#REF!</definedName>
    <definedName name="icpem">#REF!</definedName>
    <definedName name="icpfh">#REF!</definedName>
    <definedName name="icpfl">#REF!</definedName>
    <definedName name="icpfm">#REF!</definedName>
    <definedName name="icpft">#REF!</definedName>
    <definedName name="icpih">#REF!</definedName>
    <definedName name="icpil">#REF!</definedName>
    <definedName name="icpim">#REF!</definedName>
    <definedName name="icpit">#REF!</definedName>
    <definedName name="icplh">#REF!</definedName>
    <definedName name="icpll">#REF!</definedName>
    <definedName name="icplt">#REF!</definedName>
    <definedName name="icsth">#REF!</definedName>
    <definedName name="icstl">#REF!</definedName>
    <definedName name="icstm">#REF!</definedName>
    <definedName name="icstt">#REF!</definedName>
    <definedName name="ictth">#REF!</definedName>
    <definedName name="icttl">#REF!</definedName>
    <definedName name="icttm">#REF!</definedName>
    <definedName name="icttt">#REF!</definedName>
    <definedName name="ig" localSheetId="15">#REF!</definedName>
    <definedName name="ig" localSheetId="23">#REF!</definedName>
    <definedName name="ig">#REF!</definedName>
    <definedName name="imotor" localSheetId="0">#REF!</definedName>
    <definedName name="imotor">'[7]310.16'!$H$117</definedName>
    <definedName name="impre">#REF!</definedName>
    <definedName name="imprimir">#REF!</definedName>
    <definedName name="INDICE" hidden="1">#N/A</definedName>
    <definedName name="INDPYG9698" localSheetId="4" hidden="1">{#N/A,#N/A,FALSE,"Costos Productos 6A";#N/A,#N/A,FALSE,"Costo Unitario Total H-94-12"}</definedName>
    <definedName name="INDPYG9698" localSheetId="19" hidden="1">{#N/A,#N/A,FALSE,"Costos Productos 6A";#N/A,#N/A,FALSE,"Costo Unitario Total H-94-12"}</definedName>
    <definedName name="INDPYG9698" localSheetId="16" hidden="1">{#N/A,#N/A,FALSE,"Costos Productos 6A";#N/A,#N/A,FALSE,"Costo Unitario Total H-94-12"}</definedName>
    <definedName name="INDPYG9698" localSheetId="3" hidden="1">{#N/A,#N/A,FALSE,"Costos Productos 6A";#N/A,#N/A,FALSE,"Costo Unitario Total H-94-12"}</definedName>
    <definedName name="INDPYG9698" localSheetId="15" hidden="1">{#N/A,#N/A,FALSE,"Costos Productos 6A";#N/A,#N/A,FALSE,"Costo Unitario Total H-94-12"}</definedName>
    <definedName name="INDPYG9698" localSheetId="23" hidden="1">{#N/A,#N/A,FALSE,"Costos Productos 6A";#N/A,#N/A,FALSE,"Costo Unitario Total H-94-12"}</definedName>
    <definedName name="INDPYG9698" localSheetId="0" hidden="1">{#N/A,#N/A,FALSE,"Costos Productos 6A";#N/A,#N/A,FALSE,"Costo Unitario Total H-94-12"}</definedName>
    <definedName name="INDPYG9698" hidden="1">{#N/A,#N/A,FALSE,"Costos Productos 6A";#N/A,#N/A,FALSE,"Costo Unitario Total H-94-12"}</definedName>
    <definedName name="inf">#REF!</definedName>
    <definedName name="ING" localSheetId="4" hidden="1">{#N/A,#N/A,FALSE,"DITCAR";#N/A,#N/A,FALSE,"a1";#N/A,#N/A,FALSE,"a2";#N/A,#N/A,FALSE,"a3";#N/A,#N/A,FALSE,"a4";#N/A,#N/A,FALSE,"a4a";#N/A,#N/A,FALSE,"a4B";#N/A,#N/A,FALSE,"a4C";#N/A,#N/A,FALSE,"A5a ";#N/A,#N/A,FALSE,"A5b";#N/A,#N/A,FALSE,"A6A";#N/A,#N/A,FALSE,"A6B";#N/A,#N/A,FALSE,"A6C";#N/A,#N/A,FALSE,"04PG12NB"}</definedName>
    <definedName name="ING" localSheetId="19" hidden="1">{#N/A,#N/A,FALSE,"DITCAR";#N/A,#N/A,FALSE,"a1";#N/A,#N/A,FALSE,"a2";#N/A,#N/A,FALSE,"a3";#N/A,#N/A,FALSE,"a4";#N/A,#N/A,FALSE,"a4a";#N/A,#N/A,FALSE,"a4B";#N/A,#N/A,FALSE,"a4C";#N/A,#N/A,FALSE,"A5a ";#N/A,#N/A,FALSE,"A5b";#N/A,#N/A,FALSE,"A6A";#N/A,#N/A,FALSE,"A6B";#N/A,#N/A,FALSE,"A6C";#N/A,#N/A,FALSE,"04PG12NB"}</definedName>
    <definedName name="ING" localSheetId="16" hidden="1">{#N/A,#N/A,FALSE,"DITCAR";#N/A,#N/A,FALSE,"a1";#N/A,#N/A,FALSE,"a2";#N/A,#N/A,FALSE,"a3";#N/A,#N/A,FALSE,"a4";#N/A,#N/A,FALSE,"a4a";#N/A,#N/A,FALSE,"a4B";#N/A,#N/A,FALSE,"a4C";#N/A,#N/A,FALSE,"A5a ";#N/A,#N/A,FALSE,"A5b";#N/A,#N/A,FALSE,"A6A";#N/A,#N/A,FALSE,"A6B";#N/A,#N/A,FALSE,"A6C";#N/A,#N/A,FALSE,"04PG12NB"}</definedName>
    <definedName name="ING" localSheetId="3" hidden="1">{#N/A,#N/A,FALSE,"DITCAR";#N/A,#N/A,FALSE,"a1";#N/A,#N/A,FALSE,"a2";#N/A,#N/A,FALSE,"a3";#N/A,#N/A,FALSE,"a4";#N/A,#N/A,FALSE,"a4a";#N/A,#N/A,FALSE,"a4B";#N/A,#N/A,FALSE,"a4C";#N/A,#N/A,FALSE,"A5a ";#N/A,#N/A,FALSE,"A5b";#N/A,#N/A,FALSE,"A6A";#N/A,#N/A,FALSE,"A6B";#N/A,#N/A,FALSE,"A6C";#N/A,#N/A,FALSE,"04PG12NB"}</definedName>
    <definedName name="ING" localSheetId="15" hidden="1">{#N/A,#N/A,FALSE,"DITCAR";#N/A,#N/A,FALSE,"a1";#N/A,#N/A,FALSE,"a2";#N/A,#N/A,FALSE,"a3";#N/A,#N/A,FALSE,"a4";#N/A,#N/A,FALSE,"a4a";#N/A,#N/A,FALSE,"a4B";#N/A,#N/A,FALSE,"a4C";#N/A,#N/A,FALSE,"A5a ";#N/A,#N/A,FALSE,"A5b";#N/A,#N/A,FALSE,"A6A";#N/A,#N/A,FALSE,"A6B";#N/A,#N/A,FALSE,"A6C";#N/A,#N/A,FALSE,"04PG12NB"}</definedName>
    <definedName name="ING" localSheetId="23" hidden="1">{#N/A,#N/A,FALSE,"DITCAR";#N/A,#N/A,FALSE,"a1";#N/A,#N/A,FALSE,"a2";#N/A,#N/A,FALSE,"a3";#N/A,#N/A,FALSE,"a4";#N/A,#N/A,FALSE,"a4a";#N/A,#N/A,FALSE,"a4B";#N/A,#N/A,FALSE,"a4C";#N/A,#N/A,FALSE,"A5a ";#N/A,#N/A,FALSE,"A5b";#N/A,#N/A,FALSE,"A6A";#N/A,#N/A,FALSE,"A6B";#N/A,#N/A,FALSE,"A6C";#N/A,#N/A,FALSE,"04PG12NB"}</definedName>
    <definedName name="ING" localSheetId="0" hidden="1">{#N/A,#N/A,FALSE,"DITCAR";#N/A,#N/A,FALSE,"a1";#N/A,#N/A,FALSE,"a2";#N/A,#N/A,FALSE,"a3";#N/A,#N/A,FALSE,"a4";#N/A,#N/A,FALSE,"a4a";#N/A,#N/A,FALSE,"a4B";#N/A,#N/A,FALSE,"a4C";#N/A,#N/A,FALSE,"A5a ";#N/A,#N/A,FALSE,"A5b";#N/A,#N/A,FALSE,"A6A";#N/A,#N/A,FALSE,"A6B";#N/A,#N/A,FALSE,"A6C";#N/A,#N/A,FALSE,"04PG12NB"}</definedName>
    <definedName name="ING" hidden="1">{#N/A,#N/A,FALSE,"DITCAR";#N/A,#N/A,FALSE,"a1";#N/A,#N/A,FALSE,"a2";#N/A,#N/A,FALSE,"a3";#N/A,#N/A,FALSE,"a4";#N/A,#N/A,FALSE,"a4a";#N/A,#N/A,FALSE,"a4B";#N/A,#N/A,FALSE,"a4C";#N/A,#N/A,FALSE,"A5a ";#N/A,#N/A,FALSE,"A5b";#N/A,#N/A,FALSE,"A6A";#N/A,#N/A,FALSE,"A6B";#N/A,#N/A,FALSE,"A6C";#N/A,#N/A,FALSE,"04PG12NB"}</definedName>
    <definedName name="INGENIER" hidden="1">{#N/A,#N/A,FALSE,"DITCAR";#N/A,#N/A,FALSE,"a1";#N/A,#N/A,FALSE,"a2";#N/A,#N/A,FALSE,"a3";#N/A,#N/A,FALSE,"a4";#N/A,#N/A,FALSE,"a4a";#N/A,#N/A,FALSE,"a4B";#N/A,#N/A,FALSE,"a4C";#N/A,#N/A,FALSE,"A5a ";#N/A,#N/A,FALSE,"A5b";#N/A,#N/A,FALSE,"A6A";#N/A,#N/A,FALSE,"A6B";#N/A,#N/A,FALSE,"A6C";#N/A,#N/A,FALSE,"04PG12NB"}</definedName>
    <definedName name="INGREHIS" localSheetId="4" hidden="1">{#N/A,#N/A,FALSE,"CIBHA05A";#N/A,#N/A,FALSE,"CIBHA05B"}</definedName>
    <definedName name="INGREHIS" localSheetId="19" hidden="1">{#N/A,#N/A,FALSE,"CIBHA05A";#N/A,#N/A,FALSE,"CIBHA05B"}</definedName>
    <definedName name="INGREHIS" localSheetId="16" hidden="1">{#N/A,#N/A,FALSE,"CIBHA05A";#N/A,#N/A,FALSE,"CIBHA05B"}</definedName>
    <definedName name="INGREHIS" localSheetId="3" hidden="1">{#N/A,#N/A,FALSE,"CIBHA05A";#N/A,#N/A,FALSE,"CIBHA05B"}</definedName>
    <definedName name="INGREHIS" localSheetId="15" hidden="1">{#N/A,#N/A,FALSE,"CIBHA05A";#N/A,#N/A,FALSE,"CIBHA05B"}</definedName>
    <definedName name="INGREHIS" localSheetId="23" hidden="1">{#N/A,#N/A,FALSE,"CIBHA05A";#N/A,#N/A,FALSE,"CIBHA05B"}</definedName>
    <definedName name="INGREHIS" localSheetId="0" hidden="1">{#N/A,#N/A,FALSE,"CIBHA05A";#N/A,#N/A,FALSE,"CIBHA05B"}</definedName>
    <definedName name="INGREHIS" hidden="1">{#N/A,#N/A,FALSE,"CIBHA05A";#N/A,#N/A,FALSE,"CIBHA05B"}</definedName>
    <definedName name="INI">#REF!</definedName>
    <definedName name="INICIORESUMEN">#REF!</definedName>
    <definedName name="inst_range_max_001">#REF!</definedName>
    <definedName name="inst_range_min_001">#REF!</definedName>
    <definedName name="inst_range_uflg_max_001">#REF!</definedName>
    <definedName name="inst_range_uflg_min_001">#REF!</definedName>
    <definedName name="inst_range_uom_max_001">#REF!</definedName>
    <definedName name="inst_range_uom_min_001">#REF!</definedName>
    <definedName name="INSTK">#REF!</definedName>
    <definedName name="instr_pd_flg_001">#REF!</definedName>
    <definedName name="INSTVE">#REF!</definedName>
    <definedName name="Int" localSheetId="15">#REF!</definedName>
    <definedName name="Int" localSheetId="23">#REF!</definedName>
    <definedName name="Int">#REF!</definedName>
    <definedName name="INT_MOTOR">#REF!</definedName>
    <definedName name="Interest_Rate" localSheetId="15">#REF!</definedName>
    <definedName name="Interest_Rate" localSheetId="23">#REF!</definedName>
    <definedName name="Interest_Rate">#REF!</definedName>
    <definedName name="Interventor">#REF!</definedName>
    <definedName name="INVENTARIOS">#REF!</definedName>
    <definedName name="Inventory" hidden="1">#REF!</definedName>
    <definedName name="ioblh">#REF!</definedName>
    <definedName name="iobll">#REF!</definedName>
    <definedName name="ioblm">#REF!</definedName>
    <definedName name="ioblt">#REF!</definedName>
    <definedName name="iocoh">#REF!</definedName>
    <definedName name="iocol">#REF!</definedName>
    <definedName name="iocom">#REF!</definedName>
    <definedName name="iocot">#REF!</definedName>
    <definedName name="iocsh">#REF!</definedName>
    <definedName name="iocsl">#REF!</definedName>
    <definedName name="iocsm">#REF!</definedName>
    <definedName name="iocst">#REF!</definedName>
    <definedName name="ioelh">#REF!</definedName>
    <definedName name="ioell">#REF!</definedName>
    <definedName name="ioemm">#REF!</definedName>
    <definedName name="ioeom">#REF!</definedName>
    <definedName name="ioett">#REF!</definedName>
    <definedName name="iolbm">#REF!</definedName>
    <definedName name="iolem">#REF!</definedName>
    <definedName name="iollh">#REF!</definedName>
    <definedName name="iolll">#REF!</definedName>
    <definedName name="ioltt">#REF!</definedName>
    <definedName name="iopah">#REF!</definedName>
    <definedName name="iopal">#REF!</definedName>
    <definedName name="iopam">#REF!</definedName>
    <definedName name="iopat">#REF!</definedName>
    <definedName name="iopbm">#REF!</definedName>
    <definedName name="iopem">#REF!</definedName>
    <definedName name="iopfh">#REF!</definedName>
    <definedName name="iopfl">#REF!</definedName>
    <definedName name="iopfm">#REF!</definedName>
    <definedName name="iopft">#REF!</definedName>
    <definedName name="iopih">#REF!</definedName>
    <definedName name="iopil">#REF!</definedName>
    <definedName name="iopim">#REF!</definedName>
    <definedName name="IOPIOU" localSheetId="4" hidden="1">{#N/A,#N/A,FALSE,"Costos Productos 6A";#N/A,#N/A,FALSE,"Costo Unitario Total H-94-12"}</definedName>
    <definedName name="IOPIOU" localSheetId="19" hidden="1">{#N/A,#N/A,FALSE,"Costos Productos 6A";#N/A,#N/A,FALSE,"Costo Unitario Total H-94-12"}</definedName>
    <definedName name="IOPIOU" localSheetId="16" hidden="1">{#N/A,#N/A,FALSE,"Costos Productos 6A";#N/A,#N/A,FALSE,"Costo Unitario Total H-94-12"}</definedName>
    <definedName name="IOPIOU" localSheetId="3" hidden="1">{#N/A,#N/A,FALSE,"Costos Productos 6A";#N/A,#N/A,FALSE,"Costo Unitario Total H-94-12"}</definedName>
    <definedName name="IOPIOU" localSheetId="15" hidden="1">{#N/A,#N/A,FALSE,"Costos Productos 6A";#N/A,#N/A,FALSE,"Costo Unitario Total H-94-12"}</definedName>
    <definedName name="IOPIOU" localSheetId="23" hidden="1">{#N/A,#N/A,FALSE,"Costos Productos 6A";#N/A,#N/A,FALSE,"Costo Unitario Total H-94-12"}</definedName>
    <definedName name="IOPIOU" localSheetId="0" hidden="1">{#N/A,#N/A,FALSE,"Costos Productos 6A";#N/A,#N/A,FALSE,"Costo Unitario Total H-94-12"}</definedName>
    <definedName name="IOPIOU" hidden="1">{#N/A,#N/A,FALSE,"Costos Productos 6A";#N/A,#N/A,FALSE,"Costo Unitario Total H-94-12"}</definedName>
    <definedName name="iopit">#REF!</definedName>
    <definedName name="ioplh">#REF!</definedName>
    <definedName name="iopll">#REF!</definedName>
    <definedName name="ioplt">#REF!</definedName>
    <definedName name="iosth">#REF!</definedName>
    <definedName name="iostl">#REF!</definedName>
    <definedName name="iostm">#REF!</definedName>
    <definedName name="iostt">#REF!</definedName>
    <definedName name="iotth">#REF!</definedName>
    <definedName name="iottl">#REF!</definedName>
    <definedName name="iottm">#REF!</definedName>
    <definedName name="iottt">#REF!</definedName>
    <definedName name="IrAFracc">#REF!</definedName>
    <definedName name="IrAHydeal">#REF!</definedName>
    <definedName name="IrAHydrar">#REF!</definedName>
    <definedName name="iramen">#REF!</definedName>
    <definedName name="IrAPlatf">#REF!</definedName>
    <definedName name="IrAPref">#REF!</definedName>
    <definedName name="IrASulf">#REF!</definedName>
    <definedName name="IrAunif">#REF!</definedName>
    <definedName name="irng" hidden="1">#REF!</definedName>
    <definedName name="irng1" hidden="1">#REF!</definedName>
    <definedName name="IrPlanta">#REF!</definedName>
    <definedName name="IrResumen">#REF!</definedName>
    <definedName name="Iss">#REF!</definedName>
    <definedName name="ITEM">#REF!</definedName>
    <definedName name="ITEM3">#REF!</definedName>
    <definedName name="IUIU"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J" hidden="1">{"krl1",#N/A,FALSE,"kr";"krl2",#N/A,FALSE,"kr";"compara",#N/A,FALSE,"kr";"desconp1",#N/A,FALSE,"kr";"desconp12",#N/A,FALSE,"kr";"krnp1",#N/A,FALSE,"kr";"krnp2",#N/A,FALSE,"kr";"krp12avg",#N/A,FALSE,"kr";"krp1avg",#N/A,FALSE,"kr"}</definedName>
    <definedName name="Jaime" hidden="1">{#N/A,#N/A,FALSE,"Costos Productos 6A";#N/A,#N/A,FALSE,"Costo Unitario Total H-94-12"}</definedName>
    <definedName name="jaja" hidden="1">{"COSOPE98",#N/A,FALSE,"COSOPE98";"COSOPE97",#N/A,FALSE,"COSOPE97";"GASECP98",#N/A,FALSE,"GASECP98";"GAS10098",#N/A,FALSE,"GAS10098";"GASECP97",#N/A,FALSE,"GASECP97";"GAS10097",#N/A,FALSE,"GAS10097";"INVECP98",#N/A,FALSE,"INVECP98";"INV10098",#N/A,FALSE,"INV10098";"INVECP97",#N/A,FALSE,"INVECP97";"INV10097",#N/A,FALSE,"INV10097"}</definedName>
    <definedName name="JEE_">#REF!</definedName>
    <definedName name="JEEEP">#REF!</definedName>
    <definedName name="JETA_">#REF!</definedName>
    <definedName name="JETB_">#REF!</definedName>
    <definedName name="jfç" hidden="1">#REF!</definedName>
    <definedName name="jj" hidden="1">#REF!</definedName>
    <definedName name="jjj"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 name="JSALRIOS">#REF!</definedName>
    <definedName name="juan" hidden="1">{"cprgas",#N/A,FALSE,"CPR_E";"cprwat",#N/A,FALSE,"CPR_E";"oilcpr",#N/A,FALSE,"CPR_E";"norwat",#N/A,FALSE,"CPR_E";"norgas",#N/A,FALSE,"CPR_E";"noroil",#N/A,FALSE,"CPR_E";"surwat",#N/A,FALSE,"CPR_E";"surgas",#N/A,FALSE,"CPR_E";"suroil",#N/A,FALSE,"CPR_E";"puriwat",#N/A,FALSE,"CPR_E";"purigas",#N/A,FALSE,"CPR_E";"purioil",#N/A,FALSE,"CPR_E"}</definedName>
    <definedName name="JUBILADOS">#REF!</definedName>
    <definedName name="JUBILADOS1">#REF!</definedName>
    <definedName name="jul" hidden="1">#REF!</definedName>
    <definedName name="jun" hidden="1">#REF!</definedName>
    <definedName name="K" hidden="1">{"krl1",#N/A,FALSE,"kr";"krl2",#N/A,FALSE,"kr";"compara",#N/A,FALSE,"kr";"desconp1",#N/A,FALSE,"kr";"desconp12",#N/A,FALSE,"kr";"krnp1",#N/A,FALSE,"kr";"krnp2",#N/A,FALSE,"kr";"krp12avg",#N/A,FALSE,"kr";"krp1avg",#N/A,FALSE,"kr"}</definedName>
    <definedName name="kathe" hidden="1">{"COSOPE98",#N/A,FALSE,"COSOPE98";"COSOPE97",#N/A,FALSE,"COSOPE97";"GASECP98",#N/A,FALSE,"GASECP98";"GAS10098",#N/A,FALSE,"GAS10098";"GASECP97",#N/A,FALSE,"GASECP97";"GAS10097",#N/A,FALSE,"GAS10097";"INVECP98",#N/A,FALSE,"INVECP98";"INV10098",#N/A,FALSE,"INV10098";"INVECP97",#N/A,FALSE,"INVECP97";"INV10097",#N/A,FALSE,"INV10097"}</definedName>
    <definedName name="KDL" hidden="1">{#N/A,#N/A,TRUE,"1842CWN0"}</definedName>
    <definedName name="kdmfm" hidden="1">#REF!</definedName>
    <definedName name="kh" localSheetId="0">#REF!</definedName>
    <definedName name="kh">'[5]IEEE 80-2000'!$O$43</definedName>
    <definedName name="kii" localSheetId="0">#REF!</definedName>
    <definedName name="kii">'[5]IEEE 80-2000'!$O$45</definedName>
    <definedName name="kVA_Trafos" localSheetId="0">#REF!</definedName>
    <definedName name="kVA_Trafos">[3]Listas!$B$2:$B$13</definedName>
    <definedName name="L" localSheetId="4">#REF!</definedName>
    <definedName name="L" localSheetId="3">#REF!</definedName>
    <definedName name="L" hidden="1">{"krl1",#N/A,FALSE,"kr";"krl2",#N/A,FALSE,"kr";"compara",#N/A,FALSE,"kr";"desconp1",#N/A,FALSE,"kr";"desconp12",#N/A,FALSE,"kr";"krnp1",#N/A,FALSE,"kr";"krnp2",#N/A,FALSE,"kr";"krp12avg",#N/A,FALSE,"kr";"krp1avg",#N/A,FALSE,"kr"}</definedName>
    <definedName name="LA_GUAJIRA">#REF!</definedName>
    <definedName name="lame" hidden="1">#REF!</definedName>
    <definedName name="Last_Row">#N/A</definedName>
    <definedName name="lcenl" localSheetId="0">#REF!</definedName>
    <definedName name="lcenl">'[5]IEEE 80-2000'!$M$59</definedName>
    <definedName name="lcmalla" localSheetId="0">#REF!</definedName>
    <definedName name="lcmalla">'[5]IEEE 80-2000'!$M$34</definedName>
    <definedName name="LIBIA" hidden="1">{#N/A,#N/A,FALSE,"CIBHA05A";#N/A,#N/A,FALSE,"CIBHA05B"}</definedName>
    <definedName name="LIMPIADO">#REF!,#REF!,#REF!,#REF!,#REF!,#REF!,#REF!,#REF!,#REF!,#REF!,#REF!,#REF!,#REF!,#REF!,#REF!,#REF!,#REF!,#REF!,#REF!,#REF!,#REF!,#REF!,#REF!,#REF!</definedName>
    <definedName name="LIMPIAR1">#REF!,#REF!,#REF!,#REF!,#REF!,#REF!,#REF!,#REF!</definedName>
    <definedName name="line_cmpnt_id_001">#REF!</definedName>
    <definedName name="line_i_d_001">#REF!</definedName>
    <definedName name="line_id_001">#REF!</definedName>
    <definedName name="line_num_001">#REF!</definedName>
    <definedName name="line_sched_001">#REF!</definedName>
    <definedName name="line_size_001">#REF!</definedName>
    <definedName name="line_uom_001">#REF!</definedName>
    <definedName name="liquid_compres_calc_flg_001">#REF!</definedName>
    <definedName name="lista2" localSheetId="15">#REF!</definedName>
    <definedName name="lista2" localSheetId="23">#REF!</definedName>
    <definedName name="lista2" localSheetId="0">#REF!</definedName>
    <definedName name="lista2">[7]Iluminacion!#REF!</definedName>
    <definedName name="Listado">#REF!</definedName>
    <definedName name="LISTAYRUTCC">#REF!</definedName>
    <definedName name="LIZAMA">#REF!</definedName>
    <definedName name="llam">#REF!</definedName>
    <definedName name="load_watt_001">#REF!</definedName>
    <definedName name="Loan_Amount" localSheetId="15">#REF!</definedName>
    <definedName name="Loan_Amount" localSheetId="23">#REF!</definedName>
    <definedName name="Loan_Amount">#REF!</definedName>
    <definedName name="Loan_Start" localSheetId="15">#REF!</definedName>
    <definedName name="Loan_Start" localSheetId="23">#REF!</definedName>
    <definedName name="Loan_Start">#REF!</definedName>
    <definedName name="Loan_Years" localSheetId="15">#REF!</definedName>
    <definedName name="Loan_Years" localSheetId="23">#REF!</definedName>
    <definedName name="Loan_Years">#REF!</definedName>
    <definedName name="logo_001">#REF!</definedName>
    <definedName name="LOT" hidden="1">{#N/A,#N/A,FALSE,"SMT1";#N/A,#N/A,FALSE,"SMT2";#N/A,#N/A,FALSE,"Summary";#N/A,#N/A,FALSE,"Graphs";#N/A,#N/A,FALSE,"4 Panel"}</definedName>
    <definedName name="LPGA_">#REF!</definedName>
    <definedName name="LPGB_">#REF!</definedName>
    <definedName name="lrmalla" localSheetId="0">#REF!</definedName>
    <definedName name="lrmalla">'[5]IEEE 80-2000'!$D$38</definedName>
    <definedName name="M">#REF!</definedName>
    <definedName name="Macroactividad">#REF!</definedName>
    <definedName name="MAGDALENA">#REF!</definedName>
    <definedName name="MANSILLA_1">#REF!</definedName>
    <definedName name="MANSILLA_2">#REF!</definedName>
    <definedName name="MANSILLA_3">#REF!</definedName>
    <definedName name="MANUAL">#REF!</definedName>
    <definedName name="MARCO_H">#REF!</definedName>
    <definedName name="MARGEN1">#REF!</definedName>
    <definedName name="MARGEN2">#REF!</definedName>
    <definedName name="marina">#REF!</definedName>
    <definedName name="master_cmpnt_id_001">#REF!</definedName>
    <definedName name="MATERIAL">#REF!</definedName>
    <definedName name="MATRIZ" hidden="1">#REF!</definedName>
    <definedName name="MATRIZ_DE_DATOS">#REF!</definedName>
    <definedName name="may" hidden="1">#REF!</definedName>
    <definedName name="mayte" hidden="1">{#N/A,#N/A,FALSE,"QsumREG";#N/A,#N/A,FALSE,"Reg";#N/A,#N/A,FALSE,"QsumPSL";#N/A,#N/A,FALSE,"PSL";#N/A,#N/A,FALSE,"fcstsum";#N/A,#N/A,FALSE,"cntsprt"}</definedName>
    <definedName name="mccsh">#REF!</definedName>
    <definedName name="mccsl">#REF!</definedName>
    <definedName name="mcmsh">#REF!</definedName>
    <definedName name="mcmsl">#REF!</definedName>
    <definedName name="mcmsm">#REF!</definedName>
    <definedName name="mcmst">#REF!</definedName>
    <definedName name="mcpch">#REF!</definedName>
    <definedName name="mcpcl">#REF!</definedName>
    <definedName name="mcpmh">#REF!</definedName>
    <definedName name="mcpml">#REF!</definedName>
    <definedName name="mcttt">#REF!</definedName>
    <definedName name="mem" localSheetId="4" hidden="1">{#N/A,#N/A,FALSE,"Costos Productos 6A";#N/A,#N/A,FALSE,"Costo Unitario Total H-94-12"}</definedName>
    <definedName name="mem" localSheetId="19" hidden="1">{#N/A,#N/A,FALSE,"Costos Productos 6A";#N/A,#N/A,FALSE,"Costo Unitario Total H-94-12"}</definedName>
    <definedName name="mem" localSheetId="16" hidden="1">{#N/A,#N/A,FALSE,"Costos Productos 6A";#N/A,#N/A,FALSE,"Costo Unitario Total H-94-12"}</definedName>
    <definedName name="mem" localSheetId="3" hidden="1">{#N/A,#N/A,FALSE,"Costos Productos 6A";#N/A,#N/A,FALSE,"Costo Unitario Total H-94-12"}</definedName>
    <definedName name="mem" localSheetId="15" hidden="1">{#N/A,#N/A,FALSE,"Costos Productos 6A";#N/A,#N/A,FALSE,"Costo Unitario Total H-94-12"}</definedName>
    <definedName name="mem" localSheetId="23" hidden="1">{#N/A,#N/A,FALSE,"Costos Productos 6A";#N/A,#N/A,FALSE,"Costo Unitario Total H-94-12"}</definedName>
    <definedName name="mem" localSheetId="0" hidden="1">{#N/A,#N/A,FALSE,"Costos Productos 6A";#N/A,#N/A,FALSE,"Costo Unitario Total H-94-12"}</definedName>
    <definedName name="mem" hidden="1">{#N/A,#N/A,FALSE,"Costos Productos 6A";#N/A,#N/A,FALSE,"Costo Unitario Total H-94-12"}</definedName>
    <definedName name="memorias" localSheetId="4" hidden="1">{#N/A,#N/A,FALSE,"CIBHA05A";#N/A,#N/A,FALSE,"CIBHA05B"}</definedName>
    <definedName name="memorias" localSheetId="19" hidden="1">{#N/A,#N/A,FALSE,"CIBHA05A";#N/A,#N/A,FALSE,"CIBHA05B"}</definedName>
    <definedName name="memorias" localSheetId="16" hidden="1">{#N/A,#N/A,FALSE,"CIBHA05A";#N/A,#N/A,FALSE,"CIBHA05B"}</definedName>
    <definedName name="memorias" localSheetId="3" hidden="1">{#N/A,#N/A,FALSE,"CIBHA05A";#N/A,#N/A,FALSE,"CIBHA05B"}</definedName>
    <definedName name="memorias" localSheetId="15" hidden="1">{#N/A,#N/A,FALSE,"CIBHA05A";#N/A,#N/A,FALSE,"CIBHA05B"}</definedName>
    <definedName name="memorias" localSheetId="23" hidden="1">{#N/A,#N/A,FALSE,"CIBHA05A";#N/A,#N/A,FALSE,"CIBHA05B"}</definedName>
    <definedName name="memorias" localSheetId="0" hidden="1">{#N/A,#N/A,FALSE,"CIBHA05A";#N/A,#N/A,FALSE,"CIBHA05B"}</definedName>
    <definedName name="memorias" hidden="1">{#N/A,#N/A,FALSE,"CIBHA05A";#N/A,#N/A,FALSE,"CIBHA05B"}</definedName>
    <definedName name="MEMPYGH" localSheetId="4" hidden="1">{#N/A,#N/A,FALSE,"Costos Productos 6A";#N/A,#N/A,FALSE,"Costo Unitario Total H-94-12"}</definedName>
    <definedName name="MEMPYGH" localSheetId="19" hidden="1">{#N/A,#N/A,FALSE,"Costos Productos 6A";#N/A,#N/A,FALSE,"Costo Unitario Total H-94-12"}</definedName>
    <definedName name="MEMPYGH" localSheetId="16" hidden="1">{#N/A,#N/A,FALSE,"Costos Productos 6A";#N/A,#N/A,FALSE,"Costo Unitario Total H-94-12"}</definedName>
    <definedName name="MEMPYGH" localSheetId="3" hidden="1">{#N/A,#N/A,FALSE,"Costos Productos 6A";#N/A,#N/A,FALSE,"Costo Unitario Total H-94-12"}</definedName>
    <definedName name="MEMPYGH" localSheetId="15" hidden="1">{#N/A,#N/A,FALSE,"Costos Productos 6A";#N/A,#N/A,FALSE,"Costo Unitario Total H-94-12"}</definedName>
    <definedName name="MEMPYGH" localSheetId="23" hidden="1">{#N/A,#N/A,FALSE,"Costos Productos 6A";#N/A,#N/A,FALSE,"Costo Unitario Total H-94-12"}</definedName>
    <definedName name="MEMPYGH" localSheetId="0" hidden="1">{#N/A,#N/A,FALSE,"Costos Productos 6A";#N/A,#N/A,FALSE,"Costo Unitario Total H-94-12"}</definedName>
    <definedName name="MEMPYGH" hidden="1">{#N/A,#N/A,FALSE,"Costos Productos 6A";#N/A,#N/A,FALSE,"Costo Unitario Total H-94-12"}</definedName>
    <definedName name="MEMPYGHIS" localSheetId="4" hidden="1">{#N/A,#N/A,FALSE,"VOL695";#N/A,#N/A,FALSE,"anexo1";#N/A,#N/A,FALSE,"anexo2";#N/A,#N/A,FALSE,"anexo3";#N/A,#N/A,FALSE,"anexo4";#N/A,#N/A,FALSE,"anexo5a";#N/A,#N/A,FALSE,"anexo5b";#N/A,#N/A,FALSE,"anexo6a";#N/A,#N/A,FALSE,"anexo6a";#N/A,#N/A,FALSE,"anexo6c";#N/A,#N/A,FALSE,"anexo7a";#N/A,#N/A,FALSE,"anexo7b";#N/A,#N/A,FALSE,"anexo7c"}</definedName>
    <definedName name="MEMPYGHIS" localSheetId="19" hidden="1">{#N/A,#N/A,FALSE,"VOL695";#N/A,#N/A,FALSE,"anexo1";#N/A,#N/A,FALSE,"anexo2";#N/A,#N/A,FALSE,"anexo3";#N/A,#N/A,FALSE,"anexo4";#N/A,#N/A,FALSE,"anexo5a";#N/A,#N/A,FALSE,"anexo5b";#N/A,#N/A,FALSE,"anexo6a";#N/A,#N/A,FALSE,"anexo6a";#N/A,#N/A,FALSE,"anexo6c";#N/A,#N/A,FALSE,"anexo7a";#N/A,#N/A,FALSE,"anexo7b";#N/A,#N/A,FALSE,"anexo7c"}</definedName>
    <definedName name="MEMPYGHIS" localSheetId="16" hidden="1">{#N/A,#N/A,FALSE,"VOL695";#N/A,#N/A,FALSE,"anexo1";#N/A,#N/A,FALSE,"anexo2";#N/A,#N/A,FALSE,"anexo3";#N/A,#N/A,FALSE,"anexo4";#N/A,#N/A,FALSE,"anexo5a";#N/A,#N/A,FALSE,"anexo5b";#N/A,#N/A,FALSE,"anexo6a";#N/A,#N/A,FALSE,"anexo6a";#N/A,#N/A,FALSE,"anexo6c";#N/A,#N/A,FALSE,"anexo7a";#N/A,#N/A,FALSE,"anexo7b";#N/A,#N/A,FALSE,"anexo7c"}</definedName>
    <definedName name="MEMPYGHIS" localSheetId="3" hidden="1">{#N/A,#N/A,FALSE,"VOL695";#N/A,#N/A,FALSE,"anexo1";#N/A,#N/A,FALSE,"anexo2";#N/A,#N/A,FALSE,"anexo3";#N/A,#N/A,FALSE,"anexo4";#N/A,#N/A,FALSE,"anexo5a";#N/A,#N/A,FALSE,"anexo5b";#N/A,#N/A,FALSE,"anexo6a";#N/A,#N/A,FALSE,"anexo6a";#N/A,#N/A,FALSE,"anexo6c";#N/A,#N/A,FALSE,"anexo7a";#N/A,#N/A,FALSE,"anexo7b";#N/A,#N/A,FALSE,"anexo7c"}</definedName>
    <definedName name="MEMPYGHIS" localSheetId="15" hidden="1">{#N/A,#N/A,FALSE,"VOL695";#N/A,#N/A,FALSE,"anexo1";#N/A,#N/A,FALSE,"anexo2";#N/A,#N/A,FALSE,"anexo3";#N/A,#N/A,FALSE,"anexo4";#N/A,#N/A,FALSE,"anexo5a";#N/A,#N/A,FALSE,"anexo5b";#N/A,#N/A,FALSE,"anexo6a";#N/A,#N/A,FALSE,"anexo6a";#N/A,#N/A,FALSE,"anexo6c";#N/A,#N/A,FALSE,"anexo7a";#N/A,#N/A,FALSE,"anexo7b";#N/A,#N/A,FALSE,"anexo7c"}</definedName>
    <definedName name="MEMPYGHIS" localSheetId="23" hidden="1">{#N/A,#N/A,FALSE,"VOL695";#N/A,#N/A,FALSE,"anexo1";#N/A,#N/A,FALSE,"anexo2";#N/A,#N/A,FALSE,"anexo3";#N/A,#N/A,FALSE,"anexo4";#N/A,#N/A,FALSE,"anexo5a";#N/A,#N/A,FALSE,"anexo5b";#N/A,#N/A,FALSE,"anexo6a";#N/A,#N/A,FALSE,"anexo6a";#N/A,#N/A,FALSE,"anexo6c";#N/A,#N/A,FALSE,"anexo7a";#N/A,#N/A,FALSE,"anexo7b";#N/A,#N/A,FALSE,"anexo7c"}</definedName>
    <definedName name="MEMPYGHIS" localSheetId="0" hidden="1">{#N/A,#N/A,FALSE,"VOL695";#N/A,#N/A,FALSE,"anexo1";#N/A,#N/A,FALSE,"anexo2";#N/A,#N/A,FALSE,"anexo3";#N/A,#N/A,FALSE,"anexo4";#N/A,#N/A,FALSE,"anexo5a";#N/A,#N/A,FALSE,"anexo5b";#N/A,#N/A,FALSE,"anexo6a";#N/A,#N/A,FALSE,"anexo6a";#N/A,#N/A,FALSE,"anexo6c";#N/A,#N/A,FALSE,"anexo7a";#N/A,#N/A,FALSE,"anexo7b";#N/A,#N/A,FALSE,"anexo7c"}</definedName>
    <definedName name="MEMPYGHIS" hidden="1">{#N/A,#N/A,FALSE,"VOL695";#N/A,#N/A,FALSE,"anexo1";#N/A,#N/A,FALSE,"anexo2";#N/A,#N/A,FALSE,"anexo3";#N/A,#N/A,FALSE,"anexo4";#N/A,#N/A,FALSE,"anexo5a";#N/A,#N/A,FALSE,"anexo5b";#N/A,#N/A,FALSE,"anexo6a";#N/A,#N/A,FALSE,"anexo6a";#N/A,#N/A,FALSE,"anexo6c";#N/A,#N/A,FALSE,"anexo7a";#N/A,#N/A,FALSE,"anexo7b";#N/A,#N/A,FALSE,"anexo7c"}</definedName>
    <definedName name="Menu">#REF!</definedName>
    <definedName name="MES">#REF!</definedName>
    <definedName name="MesCotiz">#REF!</definedName>
    <definedName name="MesCotizacion">#REF!</definedName>
    <definedName name="MESES">#REF!</definedName>
    <definedName name="MesesMora">#REF!</definedName>
    <definedName name="met" hidden="1">{#N/A,#N/A,TRUE,"1842CWN0"}</definedName>
    <definedName name="META">#REF!</definedName>
    <definedName name="metal" hidden="1">{#N/A,#N/A,TRUE,"1842CWN0"}</definedName>
    <definedName name="MIN_MAX_sma">#REF!</definedName>
    <definedName name="MLKJ" localSheetId="4" hidden="1">{#N/A,#N/A,FALSE,"Costos Productos 6A";#N/A,#N/A,FALSE,"Costo Unitario Total H-94-12"}</definedName>
    <definedName name="MLKJ" localSheetId="19" hidden="1">{#N/A,#N/A,FALSE,"Costos Productos 6A";#N/A,#N/A,FALSE,"Costo Unitario Total H-94-12"}</definedName>
    <definedName name="MLKJ" localSheetId="16" hidden="1">{#N/A,#N/A,FALSE,"Costos Productos 6A";#N/A,#N/A,FALSE,"Costo Unitario Total H-94-12"}</definedName>
    <definedName name="MLKJ" localSheetId="3" hidden="1">{#N/A,#N/A,FALSE,"Costos Productos 6A";#N/A,#N/A,FALSE,"Costo Unitario Total H-94-12"}</definedName>
    <definedName name="MLKJ" localSheetId="15" hidden="1">{#N/A,#N/A,FALSE,"Costos Productos 6A";#N/A,#N/A,FALSE,"Costo Unitario Total H-94-12"}</definedName>
    <definedName name="MLKJ" localSheetId="23" hidden="1">{#N/A,#N/A,FALSE,"Costos Productos 6A";#N/A,#N/A,FALSE,"Costo Unitario Total H-94-12"}</definedName>
    <definedName name="MLKJ" localSheetId="0" hidden="1">{#N/A,#N/A,FALSE,"Costos Productos 6A";#N/A,#N/A,FALSE,"Costo Unitario Total H-94-12"}</definedName>
    <definedName name="MLKJ" hidden="1">{#N/A,#N/A,FALSE,"Costos Productos 6A";#N/A,#N/A,FALSE,"Costo Unitario Total H-94-12"}</definedName>
    <definedName name="mocsh">#REF!</definedName>
    <definedName name="mocsl">#REF!</definedName>
    <definedName name="Módulo3.anexo1">#REF!</definedName>
    <definedName name="Módulo3.anexo10">#REF!</definedName>
    <definedName name="Módulo3.anexo11">#REF!</definedName>
    <definedName name="Módulo3.anexo12">#REF!</definedName>
    <definedName name="Módulo3.anexo3">#REF!</definedName>
    <definedName name="Módulo3.anexo4">#REF!</definedName>
    <definedName name="Módulo3.anexo5">#REF!</definedName>
    <definedName name="Módulo3.anexo6">#REF!</definedName>
    <definedName name="Módulo8.anexo16">#REF!</definedName>
    <definedName name="momsh">#REF!</definedName>
    <definedName name="momsl">#REF!</definedName>
    <definedName name="momsm">#REF!</definedName>
    <definedName name="momst">#REF!</definedName>
    <definedName name="MONEDA">#REF!</definedName>
    <definedName name="mopch">#REF!</definedName>
    <definedName name="mopcl">#REF!</definedName>
    <definedName name="mopmh">#REF!</definedName>
    <definedName name="mopml">#REF!</definedName>
    <definedName name="Mora">#REF!</definedName>
    <definedName name="MOTOR480">[8]MOTORES!$O$5:$W$30</definedName>
    <definedName name="MOTORES">#REF!</definedName>
    <definedName name="mottt">#REF!</definedName>
    <definedName name="Mv">#REF!</definedName>
    <definedName name="n" localSheetId="0">#REF!</definedName>
    <definedName name="n">'[5]IEEE 80-2000'!$M$46</definedName>
    <definedName name="NAARB">#REF!</definedName>
    <definedName name="NACEB">#REF!</definedName>
    <definedName name="NACPA">#REF!</definedName>
    <definedName name="NACPB">#REF!</definedName>
    <definedName name="NALC">#REF!</definedName>
    <definedName name="NARIÑO">#REF!</definedName>
    <definedName name="NARMA">#REF!</definedName>
    <definedName name="NASFA">#REF!</definedName>
    <definedName name="NASFB">#REF!</definedName>
    <definedName name="NAVGA">#REF!</definedName>
    <definedName name="NBEIA">#REF!</definedName>
    <definedName name="NBEN">#REF!</definedName>
    <definedName name="NBENE">#REF!</definedName>
    <definedName name="NBMC">#REF!</definedName>
    <definedName name="NBNPA">#REF!</definedName>
    <definedName name="NBPP">#REF!</definedName>
    <definedName name="nC" comment="Obtiene el número de columnas en saltos verticales." localSheetId="4">COUNT(spv)</definedName>
    <definedName name="nC" comment="Obtiene el número de columnas en saltos verticales.">COUNT(spv)</definedName>
    <definedName name="NCCX">#REF!</definedName>
    <definedName name="NCCXE">#REF!</definedName>
    <definedName name="NCDNI">#REF!</definedName>
    <definedName name="NCLE">#REF!</definedName>
    <definedName name="NCOEB">#REF!</definedName>
    <definedName name="NCOK">#REF!</definedName>
    <definedName name="NCOPA">#REF!</definedName>
    <definedName name="NCPP">#REF!</definedName>
    <definedName name="NDIS">#REF!</definedName>
    <definedName name="NEW" localSheetId="4">#REF!</definedName>
    <definedName name="NEW" localSheetId="3">#REF!</definedName>
    <definedName name="new" hidden="1">{TRUE,TRUE,-0.8,-17,618,378,FALSE,FALSE,TRUE,TRUE,0,33,#N/A,89,#N/A,14.5641025641026,175.058823529412,1,FALSE,FALSE,3,TRUE,1,FALSE,75,"Swvu.oil.","ACwvu.oil.",#N/A,FALSE,FALSE,0.196850393700787,0.196850393700787,0.196850393700787,0.196850393700787,2,"","",TRUE,TRUE,FALSE,FALSE,1,#N/A,1,1,"=R1C1:R248C39",FALSE,"Rwvu.oil.","Cwvu.oil.",FALSE,FALSE,FALSE,1,600,600,FALSE,FALSE,TRUE,TRUE,TRUE}</definedName>
    <definedName name="nF" comment="Obtiene el número de filas en saltos horizontales." localSheetId="4">COUNT(sph)</definedName>
    <definedName name="nF" comment="Obtiene el número de filas en saltos horizontales.">COUNT(sph)</definedName>
    <definedName name="nfhdhdh" hidden="1">#REF!</definedName>
    <definedName name="NGLPE">#REF!</definedName>
    <definedName name="NGLXE">#REF!</definedName>
    <definedName name="NGMEA">#REF!</definedName>
    <definedName name="NGMEB">#REF!</definedName>
    <definedName name="NGMRA">#REF!</definedName>
    <definedName name="NGMRB">#REF!</definedName>
    <definedName name="NGMRBO">#REF!</definedName>
    <definedName name="NGMRO">#REF!</definedName>
    <definedName name="NGOEB">#REF!</definedName>
    <definedName name="NH" localSheetId="0">#REF!</definedName>
    <definedName name="NH">[3]Listas!$F$3:$F$11</definedName>
    <definedName name="NH_1Ø" localSheetId="15">#REF!</definedName>
    <definedName name="NH_1Ø" localSheetId="23">#REF!</definedName>
    <definedName name="NH_1Ø">#REF!</definedName>
    <definedName name="NH_3Ø" localSheetId="15">#REF!</definedName>
    <definedName name="NH_3Ø" localSheetId="23">#REF!</definedName>
    <definedName name="NH_3Ø">#REF!</definedName>
    <definedName name="NHEX">#REF!</definedName>
    <definedName name="Nit">#REF!</definedName>
    <definedName name="NJEE">#REF!</definedName>
    <definedName name="NJETA">#REF!</definedName>
    <definedName name="NJETB">#REF!</definedName>
    <definedName name="NLPGA">#REF!</definedName>
    <definedName name="NLPGB">#REF!</definedName>
    <definedName name="nm" hidden="1">{#N/A,#N/A,FALSE,"3mthsum.xls";#N/A,#N/A,FALSE,"fcstmth1.xls";#N/A,#N/A,FALSE,"fcstmth2.xls";#N/A,#N/A,FALSE,"fcstmth3.xls";#N/A,#N/A,FALSE,"cntsprt.xls";#N/A,#N/A,FALSE,"fldind.xls";#N/A,#N/A,FALSE,"epo.xls";#N/A,#N/A,FALSE,"tech.xls";#N/A,#N/A,FALSE,"train.xls";#N/A,#N/A,FALSE,"realest.xls";#N/A,#N/A,FALSE,"cfs.xls"}</definedName>
    <definedName name="Nmax">#REF!</definedName>
    <definedName name="nnn" hidden="1">{#N/A,#N/A,FALSE,"SMT1";#N/A,#N/A,FALSE,"SMT2";#N/A,#N/A,FALSE,"Summary";#N/A,#N/A,FALSE,"Graphs";#N/A,#N/A,FALSE,"4 Panel"}</definedName>
    <definedName name="NNVGA">#REF!</definedName>
    <definedName name="NNVIB">#REF!</definedName>
    <definedName name="No_de_Fases" localSheetId="5">Listas!$B$3:$B$5</definedName>
    <definedName name="No_de_Fases" localSheetId="10">Listas!$B$3:$B$5</definedName>
    <definedName name="No_de_Fases" localSheetId="12">Listas!$B$3:$B$5</definedName>
    <definedName name="noemi" localSheetId="4" hidden="1">{#N/A,#N/A,FALSE,"Costos Productos 6A";#N/A,#N/A,FALSE,"Costo Unitario Total H-94-12"}</definedName>
    <definedName name="noemi" localSheetId="19" hidden="1">{#N/A,#N/A,FALSE,"Costos Productos 6A";#N/A,#N/A,FALSE,"Costo Unitario Total H-94-12"}</definedName>
    <definedName name="noemi" localSheetId="16" hidden="1">{#N/A,#N/A,FALSE,"Costos Productos 6A";#N/A,#N/A,FALSE,"Costo Unitario Total H-94-12"}</definedName>
    <definedName name="noemi" localSheetId="3" hidden="1">{#N/A,#N/A,FALSE,"Costos Productos 6A";#N/A,#N/A,FALSE,"Costo Unitario Total H-94-12"}</definedName>
    <definedName name="noemi" localSheetId="15" hidden="1">{#N/A,#N/A,FALSE,"Costos Productos 6A";#N/A,#N/A,FALSE,"Costo Unitario Total H-94-12"}</definedName>
    <definedName name="noemi" localSheetId="23" hidden="1">{#N/A,#N/A,FALSE,"Costos Productos 6A";#N/A,#N/A,FALSE,"Costo Unitario Total H-94-12"}</definedName>
    <definedName name="noemi" localSheetId="0" hidden="1">{#N/A,#N/A,FALSE,"Costos Productos 6A";#N/A,#N/A,FALSE,"Costo Unitario Total H-94-12"}</definedName>
    <definedName name="noemi" hidden="1">{#N/A,#N/A,FALSE,"Costos Productos 6A";#N/A,#N/A,FALSE,"Costo Unitario Total H-94-12"}</definedName>
    <definedName name="NOMBRE">#REF!</definedName>
    <definedName name="NORTE_DE_SANTANDER">#REF!</definedName>
    <definedName name="NOSE">#REF!</definedName>
    <definedName name="nose2">#REF!</definedName>
    <definedName name="np" hidden="1">{#N/A,#N/A,FALSE,"3mthsum.xls";#N/A,#N/A,FALSE,"fcstmth1.xls";#N/A,#N/A,FALSE,"fcstmth2.xls";#N/A,#N/A,FALSE,"fcstmth3.xls";#N/A,#N/A,FALSE,"cntsprt.xls";#N/A,#N/A,FALSE,"fldind.xls";#N/A,#N/A,FALSE,"epo.xls";#N/A,#N/A,FALSE,"tech.xls";#N/A,#N/A,FALSE,"train.xls";#N/A,#N/A,FALSE,"realest.xls";#N/A,#N/A,FALSE,"cfs.xls"}</definedName>
    <definedName name="nPag" localSheetId="4">CHOOSE(xOrd,('C.C. '!saltoC-1)*('C.C. '!nF+pArea)+'C.C. '!saltoF,('C.C. '!saltoF-1)*('C.C. '!nC+pArea)+'C.C. '!saltoC)</definedName>
    <definedName name="nPag">CHOOSE(xOrd,(saltoC-1)*(nF+pArea)+saltoF,(saltoF-1)*(nC+pArea)+saltoC)</definedName>
    <definedName name="NQUEA">#REF!</definedName>
    <definedName name="NQUEB">#REF!</definedName>
    <definedName name="NSDISDI2">#REF!</definedName>
    <definedName name="NSULA">#REF!</definedName>
    <definedName name="NSULB">#REF!</definedName>
    <definedName name="NTC_819" localSheetId="15">#REF!</definedName>
    <definedName name="NTC_819" localSheetId="23">#REF!</definedName>
    <definedName name="NTC_819">#REF!</definedName>
    <definedName name="NTOL">#REF!</definedName>
    <definedName name="NUEE">#REF!</definedName>
    <definedName name="Nueva" hidden="1">{#N/A,#N/A,FALSE,"a1";#N/A,#N/A,FALSE,"a2";#N/A,#N/A,FALSE,"a3";#N/A,#N/A,FALSE,"a4a";#N/A,#N/A,FALSE,"a4B";#N/A,#N/A,FALSE,"a4C";#N/A,#N/A,FALSE,"a4D";#N/A,#N/A,FALSE,"A5a ";#N/A,#N/A,FALSE,"A5b";#N/A,#N/A,FALSE,"A6A";#N/A,#N/A,FALSE,"A6B";#N/A,#N/A,FALSE,"A6C";#N/A,#N/A,FALSE,"A6D";#N/A,#N/A,FALSE,"INV"}</definedName>
    <definedName name="NUEVAHOJA">#REF!</definedName>
    <definedName name="NUEVO" hidden="1">{TRUE,TRUE,-0.8,-17,618,378,FALSE,FALSE,TRUE,TRUE,0,33,#N/A,89,#N/A,14.5641025641026,175.058823529412,1,FALSE,FALSE,3,TRUE,1,FALSE,75,"Swvu.oil.","ACwvu.oil.",#N/A,FALSE,FALSE,0.196850393700787,0.196850393700787,0.196850393700787,0.196850393700787,2,"","",TRUE,TRUE,FALSE,FALSE,1,#N/A,1,1,"=R1C1:R248C39",FALSE,"Rwvu.oil.","Cwvu.oil.",FALSE,FALSE,FALSE,1,600,600,FALSE,FALSE,TRUE,TRUE,TRUE}</definedName>
    <definedName name="NUEVO2" hidden="1">{#N/A,#N/A,FALSE,"Costos Productos 6A";#N/A,#N/A,FALSE,"Costo Unitario Total H-94-12"}</definedName>
    <definedName name="Num_Pmt_Per_Year" localSheetId="15">#REF!</definedName>
    <definedName name="Num_Pmt_Per_Year" localSheetId="23">#REF!</definedName>
    <definedName name="Num_Pmt_Per_Year">#REF!</definedName>
    <definedName name="Number_of_Payments" localSheetId="19">MATCH(0.01,[0]!End_Bal,-1)+1</definedName>
    <definedName name="Number_of_Payments" localSheetId="16">MATCH(0.01,[0]!End_Bal,-1)+1</definedName>
    <definedName name="Number_of_Payments" localSheetId="13">MATCH(0.01,[0]!End_Bal,-1)+1</definedName>
    <definedName name="Number_of_Payments" localSheetId="15">MATCH(0.01,RESUMEN!End_Bal,-1)+1</definedName>
    <definedName name="Number_of_Payments" localSheetId="23">MATCH(0.01,'Tablas Cables'!End_Bal,-1)+1</definedName>
    <definedName name="Number_of_Payments" localSheetId="0">MATCH(0.01,End_Bal,-1)+1</definedName>
    <definedName name="Number_of_Payments">MATCH(0.01,[0]!End_Bal,-1)+1</definedName>
    <definedName name="number_of_phases_id_001">#REF!</definedName>
    <definedName name="NVIB_">#REF!</definedName>
    <definedName name="NVIEP">#REF!</definedName>
    <definedName name="NVIRG">#REF!</definedName>
    <definedName name="NXIL">#REF!</definedName>
    <definedName name="NXILE">#REF!</definedName>
    <definedName name="ñ" hidden="1">{#N/A,#N/A,FALSE,"CIBHA05A";#N/A,#N/A,FALSE,"CIBHA05B"}</definedName>
    <definedName name="ññ" hidden="1">{#N/A,#N/A,FALSE,"VOL695";#N/A,#N/A,FALSE,"anexo1";#N/A,#N/A,FALSE,"anexo2";#N/A,#N/A,FALSE,"anexo3";#N/A,#N/A,FALSE,"anexo4";#N/A,#N/A,FALSE,"anexo5a";#N/A,#N/A,FALSE,"anexo5b";#N/A,#N/A,FALSE,"anexo6a";#N/A,#N/A,FALSE,"anexo6a";#N/A,#N/A,FALSE,"anexo6c";#N/A,#N/A,FALSE,"anexo7a";#N/A,#N/A,FALSE,"anexo7b";#N/A,#N/A,FALSE,"anexo7c"}</definedName>
    <definedName name="ocblh">#REF!</definedName>
    <definedName name="ocbll">#REF!</definedName>
    <definedName name="ocblm">#REF!</definedName>
    <definedName name="ocblt">#REF!</definedName>
    <definedName name="occoh">#REF!</definedName>
    <definedName name="occol">#REF!</definedName>
    <definedName name="occom">#REF!</definedName>
    <definedName name="occot">#REF!</definedName>
    <definedName name="occsh">#REF!</definedName>
    <definedName name="occsl">#REF!</definedName>
    <definedName name="occsm">#REF!</definedName>
    <definedName name="occst">#REF!</definedName>
    <definedName name="OCD">#REF!</definedName>
    <definedName name="OCD1_1">#REF!</definedName>
    <definedName name="OCD1_1_1">#REF!</definedName>
    <definedName name="ocelh">#REF!</definedName>
    <definedName name="ocell">#REF!</definedName>
    <definedName name="ocemm">#REF!</definedName>
    <definedName name="oceom">#REF!</definedName>
    <definedName name="ocett">#REF!</definedName>
    <definedName name="OCI">#REF!</definedName>
    <definedName name="OCI1_1">#REF!</definedName>
    <definedName name="OCI1_1_1">#REF!</definedName>
    <definedName name="oclbm">#REF!</definedName>
    <definedName name="oclem">#REF!</definedName>
    <definedName name="ocllh">#REF!</definedName>
    <definedName name="oclll">#REF!</definedName>
    <definedName name="ocltt">#REF!</definedName>
    <definedName name="ocpah">#REF!</definedName>
    <definedName name="ocpal">#REF!</definedName>
    <definedName name="ocpam">#REF!</definedName>
    <definedName name="ocpat">#REF!</definedName>
    <definedName name="ocpbm">#REF!</definedName>
    <definedName name="ocpem">#REF!</definedName>
    <definedName name="ocpfh">#REF!</definedName>
    <definedName name="ocpfl">#REF!</definedName>
    <definedName name="ocpfm">#REF!</definedName>
    <definedName name="ocpft">#REF!</definedName>
    <definedName name="ocpih">#REF!</definedName>
    <definedName name="ocpil">#REF!</definedName>
    <definedName name="ocpim">#REF!</definedName>
    <definedName name="ocpit">#REF!</definedName>
    <definedName name="ocplh">#REF!</definedName>
    <definedName name="ocpll">#REF!</definedName>
    <definedName name="ocplt">#REF!</definedName>
    <definedName name="ocsth">#REF!</definedName>
    <definedName name="ocstl">#REF!</definedName>
    <definedName name="ocstm">#REF!</definedName>
    <definedName name="ocstt">#REF!</definedName>
    <definedName name="octth">#REF!</definedName>
    <definedName name="octtl">#REF!</definedName>
    <definedName name="octtm">#REF!</definedName>
    <definedName name="octtt">#REF!</definedName>
    <definedName name="OD">#REF!</definedName>
    <definedName name="odkmñkwdsa" hidden="1">{#N/A,#N/A,FALSE,"Casanare";#N/A,#N/A,FALSE,"Estero";#N/A,#N/A,FALSE,"Garcero";#N/A,#N/A,FALSE,"Orocué";#N/A,#N/A,FALSE,"Corocora"}</definedName>
    <definedName name="oficial" localSheetId="4" hidden="1">{#N/A,#N/A,FALSE,"CIBHA05A";#N/A,#N/A,FALSE,"CIBHA05B"}</definedName>
    <definedName name="oficial" localSheetId="19" hidden="1">{#N/A,#N/A,FALSE,"CIBHA05A";#N/A,#N/A,FALSE,"CIBHA05B"}</definedName>
    <definedName name="oficial" localSheetId="16" hidden="1">{#N/A,#N/A,FALSE,"CIBHA05A";#N/A,#N/A,FALSE,"CIBHA05B"}</definedName>
    <definedName name="oficial" localSheetId="3" hidden="1">{#N/A,#N/A,FALSE,"CIBHA05A";#N/A,#N/A,FALSE,"CIBHA05B"}</definedName>
    <definedName name="oficial" localSheetId="15" hidden="1">{#N/A,#N/A,FALSE,"CIBHA05A";#N/A,#N/A,FALSE,"CIBHA05B"}</definedName>
    <definedName name="oficial" localSheetId="23" hidden="1">{#N/A,#N/A,FALSE,"CIBHA05A";#N/A,#N/A,FALSE,"CIBHA05B"}</definedName>
    <definedName name="oficial" localSheetId="0" hidden="1">{#N/A,#N/A,FALSE,"CIBHA05A";#N/A,#N/A,FALSE,"CIBHA05B"}</definedName>
    <definedName name="oficial" hidden="1">{#N/A,#N/A,FALSE,"CIBHA05A";#N/A,#N/A,FALSE,"CIBHA05B"}</definedName>
    <definedName name="OLD" hidden="1">{#N/A,#N/A,FALSE,"QsumREG";#N/A,#N/A,FALSE,"Reg";#N/A,#N/A,FALSE,"QsumPSL";#N/A,#N/A,FALSE,"PSL";#N/A,#N/A,FALSE,"fcstsum";#N/A,#N/A,FALSE,"cntsprt"}</definedName>
    <definedName name="oo"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ooblh">#REF!</definedName>
    <definedName name="oobll">#REF!</definedName>
    <definedName name="ooblm">#REF!</definedName>
    <definedName name="ooblt">#REF!</definedName>
    <definedName name="oocoh">#REF!</definedName>
    <definedName name="oocol">#REF!</definedName>
    <definedName name="oocom">#REF!</definedName>
    <definedName name="oocot">#REF!</definedName>
    <definedName name="oocsh">#REF!</definedName>
    <definedName name="oocsl">#REF!</definedName>
    <definedName name="oocsm">#REF!</definedName>
    <definedName name="oocst">#REF!</definedName>
    <definedName name="ooelh">#REF!</definedName>
    <definedName name="ooell">#REF!</definedName>
    <definedName name="ooemm">#REF!</definedName>
    <definedName name="ooeom">#REF!</definedName>
    <definedName name="ooett">#REF!</definedName>
    <definedName name="oolbm">#REF!</definedName>
    <definedName name="oolem">#REF!</definedName>
    <definedName name="oollh">#REF!</definedName>
    <definedName name="oolll">#REF!</definedName>
    <definedName name="ooltt">#REF!</definedName>
    <definedName name="oopah">#REF!</definedName>
    <definedName name="oopal">#REF!</definedName>
    <definedName name="oopam">#REF!</definedName>
    <definedName name="oopat">#REF!</definedName>
    <definedName name="oopbm">#REF!</definedName>
    <definedName name="oopem">#REF!</definedName>
    <definedName name="oopfh">#REF!</definedName>
    <definedName name="oopfl">#REF!</definedName>
    <definedName name="oopfm">#REF!</definedName>
    <definedName name="oopft">#REF!</definedName>
    <definedName name="oopih">#REF!</definedName>
    <definedName name="oopil">#REF!</definedName>
    <definedName name="oopim">#REF!</definedName>
    <definedName name="oopit">#REF!</definedName>
    <definedName name="ooplh">#REF!</definedName>
    <definedName name="oopll">#REF!</definedName>
    <definedName name="ooplt">#REF!</definedName>
    <definedName name="oosth">#REF!</definedName>
    <definedName name="oostl">#REF!</definedName>
    <definedName name="oostm">#REF!</definedName>
    <definedName name="oostt">#REF!</definedName>
    <definedName name="ootth">#REF!</definedName>
    <definedName name="oottl">#REF!</definedName>
    <definedName name="oottm">#REF!</definedName>
    <definedName name="oottt">#REF!</definedName>
    <definedName name="operating_mode_id_001">#REF!</definedName>
    <definedName name="OrderTable" hidden="1">#REF!</definedName>
    <definedName name="ORIGEN">#REF!</definedName>
    <definedName name="oss" hidden="1">{#N/A,#N/A,FALSE,"DMC schedule";#N/A,#N/A,FALSE,"DMC_THC Revenue";#N/A,#N/A,FALSE,"Personnel plan";#N/A,#N/A,FALSE,"Capex HW+SW";#N/A,#N/A,FALSE,"P&amp;L"}</definedName>
    <definedName name="otctt">#REF!</definedName>
    <definedName name="P">#REF!</definedName>
    <definedName name="page_001">#REF!</definedName>
    <definedName name="pageof_001">#REF!</definedName>
    <definedName name="Pagina" localSheetId="4">"Pagina "&amp;'C.C. '!nPag&amp;" de "&amp;nPags+0*TODAY()</definedName>
    <definedName name="Pagina">"Pagina "&amp;nPag&amp;" de "&amp;nPags+0*TODAY()</definedName>
    <definedName name="Pal_Workbook_GUID" hidden="1">"NA8KZAVRJ1DBTG99Z56RSP4F"</definedName>
    <definedName name="panel_id_001">#REF!</definedName>
    <definedName name="Pay_Date" localSheetId="15">#REF!</definedName>
    <definedName name="Pay_Date" localSheetId="23">#REF!</definedName>
    <definedName name="Pay_Date">#REF!</definedName>
    <definedName name="Pay_Num" localSheetId="15">#REF!</definedName>
    <definedName name="Pay_Num" localSheetId="23">#REF!</definedName>
    <definedName name="Pay_Num">#REF!</definedName>
    <definedName name="Payment_Date" localSheetId="19">DATE(YEAR([0]!Loan_Start),MONTH([0]!Loan_Start)+Payment_Number,DAY([0]!Loan_Start))</definedName>
    <definedName name="Payment_Date" localSheetId="16">DATE(YEAR([0]!Loan_Start),MONTH([0]!Loan_Start)+Payment_Number,DAY([0]!Loan_Start))</definedName>
    <definedName name="Payment_Date" localSheetId="13">DATE(YEAR([0]!Loan_Start),MONTH([0]!Loan_Start)+Payment_Number,DAY([0]!Loan_Start))</definedName>
    <definedName name="Payment_Date" localSheetId="15">DATE(YEAR(RESUMEN!Loan_Start),MONTH(RESUMEN!Loan_Start)+Payment_Number,DAY(RESUMEN!Loan_Start))</definedName>
    <definedName name="Payment_Date" localSheetId="23">DATE(YEAR('Tablas Cables'!Loan_Start),MONTH('Tablas Cables'!Loan_Start)+Payment_Number,DAY('Tablas Cables'!Loan_Start))</definedName>
    <definedName name="Payment_Date" localSheetId="0">DATE(YEAR([0]!Loan_Start),MONTH([0]!Loan_Start)+Payment_Number,DAY([0]!Loan_Start))</definedName>
    <definedName name="Payment_Date">DATE(YEAR([0]!Loan_Start),MONTH([0]!Loan_Start)+Payment_Number,DAY([0]!Loan_Start))</definedName>
    <definedName name="PCT">#REF!</definedName>
    <definedName name="Pd">#REF!</definedName>
    <definedName name="pd_angle_of_repose_001">#REF!</definedName>
    <definedName name="pd_api_calc_type_001">#REF!</definedName>
    <definedName name="pd_api_degree_max_001">#REF!</definedName>
    <definedName name="pd_api_degree_min_001">#REF!</definedName>
    <definedName name="pd_api_degree_nor_001">#REF!</definedName>
    <definedName name="pd_api_group_id_001">#REF!</definedName>
    <definedName name="pd_bubble_pt_max_001">#REF!</definedName>
    <definedName name="pd_bubble_pt_min_001">#REF!</definedName>
    <definedName name="pd_bubble_pt_nor_001">#REF!</definedName>
    <definedName name="pd_bubble_pt_uid_001">#REF!</definedName>
    <definedName name="pd_build_tend_001">#REF!</definedName>
    <definedName name="pd_chim_abstr_num_001">#REF!</definedName>
    <definedName name="pd_coagulat_001">#REF!</definedName>
    <definedName name="pd_colored_001">#REF!</definedName>
    <definedName name="pd_compres_base_001">#REF!</definedName>
    <definedName name="pd_compres_flow_max_001">#REF!</definedName>
    <definedName name="pd_compres_flow_min_001">#REF!</definedName>
    <definedName name="pd_compres_flow_nor">#REF!</definedName>
    <definedName name="pd_compres_flow_nor_001">#REF!</definedName>
    <definedName name="pd_conduct_resist_flg_001">#REF!</definedName>
    <definedName name="pd_conductivity_max_001">#REF!</definedName>
    <definedName name="pd_conductivity_min_001">#REF!</definedName>
    <definedName name="pd_conductivity_nor_001">#REF!</definedName>
    <definedName name="pd_conductivity_uid_001">#REF!</definedName>
    <definedName name="pd_contain_parts_001">#REF!</definedName>
    <definedName name="pd_corrosive_001">#REF!</definedName>
    <definedName name="pd_cp_cv_max_001">#REF!</definedName>
    <definedName name="pd_cp_cv_min_001">#REF!</definedName>
    <definedName name="pd_cp_cv_nor_001">#REF!</definedName>
    <definedName name="pd_critic_press_001">#REF!</definedName>
    <definedName name="pd_critic_press_uflg_001">#REF!</definedName>
    <definedName name="pd_critic_press_uid_001">#REF!</definedName>
    <definedName name="pd_dens_at_bas_uid_001">#REF!</definedName>
    <definedName name="pd_dens_at_base">#REF!</definedName>
    <definedName name="pd_dens_at_base_001">#REF!</definedName>
    <definedName name="pd_dens_comp_base_flg_001">#REF!</definedName>
    <definedName name="pd_dens_grav_base_flg_001">#REF!</definedName>
    <definedName name="pd_dens_grav_flg_001">#REF!</definedName>
    <definedName name="pd_dens_max_001">#REF!</definedName>
    <definedName name="pd_dens_min_001">#REF!</definedName>
    <definedName name="pd_dens_nor">#REF!</definedName>
    <definedName name="pd_dens_nor_001">#REF!</definedName>
    <definedName name="pd_dens_ref_001">#REF!</definedName>
    <definedName name="pd_dens_ref_uid_001">#REF!</definedName>
    <definedName name="pd_dens_uid_001">#REF!</definedName>
    <definedName name="pd_design_temp_max_001">#REF!</definedName>
    <definedName name="pd_design_temp_min_001">#REF!</definedName>
    <definedName name="pd_design_temp_uid_001">#REF!</definedName>
    <definedName name="pd_dew_pt_max_001">#REF!</definedName>
    <definedName name="pd_dew_pt_min_001">#REF!</definedName>
    <definedName name="pd_dew_pt_nor_001">#REF!</definedName>
    <definedName name="pd_dew_pt_uid_001">#REF!</definedName>
    <definedName name="pd_entrained_gas_001">#REF!</definedName>
    <definedName name="pd_entrained_gas_uid_001">#REF!</definedName>
    <definedName name="pd_erosive_001">#REF!</definedName>
    <definedName name="pd_f_alarm_high_001">#REF!</definedName>
    <definedName name="pd_f_alarm_high_high_001">#REF!</definedName>
    <definedName name="pd_f_alarm_high_high_high_001">#REF!</definedName>
    <definedName name="pd_f_alarm_low_001">#REF!</definedName>
    <definedName name="pd_f_alarm_low_low_001">#REF!</definedName>
    <definedName name="pd_f_alarm_low_low_low_001">#REF!</definedName>
    <definedName name="pd_f_cntrl_pnt_001">#REF!</definedName>
    <definedName name="pd_f_cntrl_pnt_uid_001">#REF!</definedName>
    <definedName name="pd_f_range_max_001">#REF!</definedName>
    <definedName name="pd_f_range_min_001">#REF!</definedName>
    <definedName name="pd_f_range_nor_001">#REF!</definedName>
    <definedName name="pd_f_range_uflg_001">#REF!</definedName>
    <definedName name="pd_f_range_uid_001">#REF!</definedName>
    <definedName name="pd_f_trac_jacet_001">#REF!</definedName>
    <definedName name="pd_f_trip_alarm_uflg_001">#REF!</definedName>
    <definedName name="pd_f_trip_alarm_uid_001">#REF!</definedName>
    <definedName name="pd_f_trip_high_001">#REF!</definedName>
    <definedName name="pd_f_trip_high_high_001">#REF!</definedName>
    <definedName name="pd_f_trip_high_high_high_001">#REF!</definedName>
    <definedName name="pd_f_trip_low_001">#REF!</definedName>
    <definedName name="pd_f_trip_low_low_001">#REF!</definedName>
    <definedName name="pd_f_trip_low_low_low_001">#REF!</definedName>
    <definedName name="pd_f_valvtend_001">#REF!</definedName>
    <definedName name="pd_flow_add_flag_001">#REF!</definedName>
    <definedName name="pd_flow_alarm_flag_001">#REF!</definedName>
    <definedName name="pd_flow_flag_001">#REF!</definedName>
    <definedName name="pd_flow_max">#REF!</definedName>
    <definedName name="pd_flow_max_001">#REF!</definedName>
    <definedName name="pd_flow_min">#REF!</definedName>
    <definedName name="pd_flow_min_001">#REF!</definedName>
    <definedName name="pd_flow_nor">#REF!</definedName>
    <definedName name="pd_flow_nor_001">#REF!</definedName>
    <definedName name="pd_flow_uflg_001">#REF!</definedName>
    <definedName name="pd_flow_uid_001">#REF!</definedName>
    <definedName name="pd_fluid_name">#REF!</definedName>
    <definedName name="pd_fluid_name_001">#REF!</definedName>
    <definedName name="pd_fluid_phase_001">#REF!</definedName>
    <definedName name="pd_fluid_stat_001">#REF!</definedName>
    <definedName name="pd_gas_comp_dens_flg_001">#REF!</definedName>
    <definedName name="pd_gas_mm_grav_flg_001">#REF!</definedName>
    <definedName name="pd_heat_max_001">#REF!</definedName>
    <definedName name="pd_heat_min_001">#REF!</definedName>
    <definedName name="pd_heat_nor_001">#REF!</definedName>
    <definedName name="pd_heat_uid_001">#REF!</definedName>
    <definedName name="pd_isize_phase_001">#REF!</definedName>
    <definedName name="pd_latent_heat_max_001">#REF!</definedName>
    <definedName name="pd_latent_heat_min_001">#REF!</definedName>
    <definedName name="pd_latent_heat_nor_001">#REF!</definedName>
    <definedName name="pd_latent_heat_uid_001">#REF!</definedName>
    <definedName name="pd_line_eq_flg_001">#REF!</definedName>
    <definedName name="pd_lmt_pres_001">#REF!</definedName>
    <definedName name="pd_lmt_pres_uid_001">#REF!</definedName>
    <definedName name="pd_molecular_mass_001">#REF!</definedName>
    <definedName name="pd_note_001">#REF!</definedName>
    <definedName name="pd_oxidizing_001">#REF!</definedName>
    <definedName name="pd_ph_orp_max_001">#REF!</definedName>
    <definedName name="pd_ph_orp_min_001">#REF!</definedName>
    <definedName name="pd_ph_orp_nor_001">#REF!</definedName>
    <definedName name="pd_ph_orp_uid_001">#REF!</definedName>
    <definedName name="pd_press_base">#REF!</definedName>
    <definedName name="pd_press_base_001">#REF!</definedName>
    <definedName name="pd_press_base_uid_001">#REF!</definedName>
    <definedName name="pd_press_des_001">#REF!</definedName>
    <definedName name="pd_press_des_min_001">#REF!</definedName>
    <definedName name="pd_press_des_min_uflg_001">#REF!</definedName>
    <definedName name="pd_press_des_min_uid_001">#REF!</definedName>
    <definedName name="pd_press_des_uflg_001">#REF!</definedName>
    <definedName name="pd_press_des_uid_001">#REF!</definedName>
    <definedName name="pd_press_drp_max_001">#REF!</definedName>
    <definedName name="pd_press_drp_min_001">#REF!</definedName>
    <definedName name="pd_press_drp_nor_001">#REF!</definedName>
    <definedName name="pd_press_drp_uid_001">#REF!</definedName>
    <definedName name="pd_press_max">#REF!</definedName>
    <definedName name="pd_press_max_001">#REF!</definedName>
    <definedName name="pd_press_min">#REF!</definedName>
    <definedName name="pd_press_min_001">#REF!</definedName>
    <definedName name="pd_press_nor">#REF!</definedName>
    <definedName name="pd_press_nor_001">#REF!</definedName>
    <definedName name="pd_press_uflg_001">#REF!</definedName>
    <definedName name="pd_press_uid_001">#REF!</definedName>
    <definedName name="pd_pulsation_001">#REF!</definedName>
    <definedName name="pd_resistivity_max_001">#REF!</definedName>
    <definedName name="pd_resistivity_min_001">#REF!</definedName>
    <definedName name="pd_resistivity_nor_001">#REF!</definedName>
    <definedName name="pd_resistivity_uid_001">#REF!</definedName>
    <definedName name="pd_return_pres_design_001">#REF!</definedName>
    <definedName name="pd_return_pres_design_uflg_001">#REF!</definedName>
    <definedName name="pd_return_pres_design_uid_001">#REF!</definedName>
    <definedName name="pd_return_pres_max_001">#REF!</definedName>
    <definedName name="pd_return_pres_min_001">#REF!</definedName>
    <definedName name="pd_return_pres_nor_001">#REF!</definedName>
    <definedName name="pd_return_pres_uflg_001">#REF!</definedName>
    <definedName name="pd_return_pres_uid_001">#REF!</definedName>
    <definedName name="pd_return_temp_design_001">#REF!</definedName>
    <definedName name="pd_return_temp_max_001">#REF!</definedName>
    <definedName name="pd_return_temp_min_001">#REF!</definedName>
    <definedName name="pd_return_temp_nor_001">#REF!</definedName>
    <definedName name="pd_return_temp_uid_001">#REF!</definedName>
    <definedName name="pd_saturat_temp_001">#REF!</definedName>
    <definedName name="pd_schedul_001">#REF!</definedName>
    <definedName name="pd_size_001">#REF!</definedName>
    <definedName name="pd_size_uid_001">#REF!</definedName>
    <definedName name="pd_solidfy_001">#REF!</definedName>
    <definedName name="pd_solids_qt_001">#REF!</definedName>
    <definedName name="pd_solids_qt_uid_001">#REF!</definedName>
    <definedName name="pd_solids_size_001">#REF!</definedName>
    <definedName name="pd_solids_size_uid_001">#REF!</definedName>
    <definedName name="pd_source_001">#REF!</definedName>
    <definedName name="pd_source_type_001">#REF!</definedName>
    <definedName name="pd_spec_grav_base">#REF!</definedName>
    <definedName name="pd_spec_grav_base_001">#REF!</definedName>
    <definedName name="pd_spec_grav_max_001">#REF!</definedName>
    <definedName name="pd_spec_grav_min_001">#REF!</definedName>
    <definedName name="pd_spec_grav_nor">#REF!</definedName>
    <definedName name="pd_spec_grav_nor_001">#REF!</definedName>
    <definedName name="pd_spec_grav_ref_001">#REF!</definedName>
    <definedName name="pd_stat_001">#REF!</definedName>
    <definedName name="pd_temp_base">#REF!</definedName>
    <definedName name="pd_temp_base_001">#REF!</definedName>
    <definedName name="pd_temp_base_uid_001">#REF!</definedName>
    <definedName name="pd_temp_max">#REF!</definedName>
    <definedName name="pd_temp_max_001">#REF!</definedName>
    <definedName name="pd_temp_min">#REF!</definedName>
    <definedName name="pd_temp_min_001">#REF!</definedName>
    <definedName name="pd_temp_nor">#REF!</definedName>
    <definedName name="pd_temp_nor_001">#REF!</definedName>
    <definedName name="pd_temp_ref_001">#REF!</definedName>
    <definedName name="pd_temp_ref_uid_001">#REF!</definedName>
    <definedName name="pd_temp_uid_001">#REF!</definedName>
    <definedName name="pd_term_shock_001">#REF!</definedName>
    <definedName name="pd_toxic_001">#REF!</definedName>
    <definedName name="pd_transparent_001">#REF!</definedName>
    <definedName name="pd_udf_c01_001">#REF!</definedName>
    <definedName name="pd_udf_c02_001">#REF!</definedName>
    <definedName name="pd_udf_c03_001">#REF!</definedName>
    <definedName name="pd_udf_c04_001">#REF!</definedName>
    <definedName name="pd_udf_c05_001">#REF!</definedName>
    <definedName name="pd_udf_c06_001">#REF!</definedName>
    <definedName name="pd_udf_c07_001">#REF!</definedName>
    <definedName name="pd_udf_c08_001">#REF!</definedName>
    <definedName name="pd_udf_c09_001">#REF!</definedName>
    <definedName name="pd_udf_c10_001">#REF!</definedName>
    <definedName name="pd_udf_c11_001">#REF!</definedName>
    <definedName name="pd_udf_c12_001">#REF!</definedName>
    <definedName name="pd_udf_c13_001">#REF!</definedName>
    <definedName name="pd_udf_c14_001">#REF!</definedName>
    <definedName name="pd_udf_c15_001">#REF!</definedName>
    <definedName name="pd_udf_c16_001">#REF!</definedName>
    <definedName name="pd_udf_c17_001">#REF!</definedName>
    <definedName name="pd_udf_c18_001">#REF!</definedName>
    <definedName name="pd_udf_c19_001">#REF!</definedName>
    <definedName name="pd_udf_c20_001">#REF!</definedName>
    <definedName name="pd_unit_percent_001">#REF!</definedName>
    <definedName name="pd_vap_press_max_001">#REF!</definedName>
    <definedName name="pd_vap_press_min_001">#REF!</definedName>
    <definedName name="pd_vap_press_nor">#REF!</definedName>
    <definedName name="pd_vap_press_nor_001">#REF!</definedName>
    <definedName name="pd_vap_press_uflg_001">#REF!</definedName>
    <definedName name="pd_vap_press_uid_001">#REF!</definedName>
    <definedName name="pd_velocity_max_001">#REF!</definedName>
    <definedName name="pd_velocity_min_001">#REF!</definedName>
    <definedName name="pd_velocity_nor_001">#REF!</definedName>
    <definedName name="pd_velocity_uid_001">#REF!</definedName>
    <definedName name="pd_vibration_001">#REF!</definedName>
    <definedName name="pd_visc_max_001">#REF!</definedName>
    <definedName name="pd_visc_min_001">#REF!</definedName>
    <definedName name="pd_visc_nor">#REF!</definedName>
    <definedName name="pd_visc_nor_001">#REF!</definedName>
    <definedName name="pd_visc_uid_001">#REF!</definedName>
    <definedName name="Perfil_L">#REF!</definedName>
    <definedName name="PeriodoPago">#REF!</definedName>
    <definedName name="PERSONAL">#REF!</definedName>
    <definedName name="PERSONAL1">#REF!</definedName>
    <definedName name="PERU" hidden="1">{#N/A,#N/A,FALSE,"DMC schedule";#N/A,#N/A,FALSE,"DMC_THC Revenue";#N/A,#N/A,FALSE,"Personnel plan";#N/A,#N/A,FALSE,"Capex HW+SW";#N/A,#N/A,FALSE,"P&amp;L"}</definedName>
    <definedName name="PESO">#REF!</definedName>
    <definedName name="phase1_001">#REF!</definedName>
    <definedName name="phase2_001">#REF!</definedName>
    <definedName name="phase3_001">#REF!</definedName>
    <definedName name="PI" localSheetId="0">#REF!</definedName>
    <definedName name="PI">'[7]Tabla 5'!$B$42</definedName>
    <definedName name="pid_no_001">#REF!</definedName>
    <definedName name="Pindis">#REF!</definedName>
    <definedName name="PINTURA">#REF!</definedName>
    <definedName name="PIPE">#REF!</definedName>
    <definedName name="pipe_class_001">#REF!</definedName>
    <definedName name="pipe_class_id_001">#REF!</definedName>
    <definedName name="PIVOL" hidden="1">{#N/A,#N/A,FALSE,"DMC schedule";#N/A,#N/A,FALSE,"DMC_THC Revenue";#N/A,#N/A,FALSE,"Personnel plan";#N/A,#N/A,FALSE,"Capex HW+SW";#N/A,#N/A,FALSE,"P&amp;L"}</definedName>
    <definedName name="PLAN">#REF!</definedName>
    <definedName name="PLANMAESTRO">#REF!</definedName>
    <definedName name="plant_id_001">#REF!</definedName>
    <definedName name="PMD">#REF!</definedName>
    <definedName name="portada2">#REF!</definedName>
    <definedName name="POSICION_PRESUP">#REF!</definedName>
    <definedName name="POSICIONES">#REF!</definedName>
    <definedName name="power_distribution_board_001">#REF!</definedName>
    <definedName name="power_factor_full_load_001">#REF!</definedName>
    <definedName name="power_supply_type_flag_001">#REF!</definedName>
    <definedName name="PPT" localSheetId="19" hidden="1">#REF!</definedName>
    <definedName name="PPT" localSheetId="22" hidden="1">#REF!</definedName>
    <definedName name="PPT" localSheetId="16" hidden="1">#REF!</definedName>
    <definedName name="PPT" localSheetId="11" hidden="1">#REF!</definedName>
    <definedName name="PPT" localSheetId="13" hidden="1">#REF!</definedName>
    <definedName name="PPT" localSheetId="14" hidden="1">#REF!</definedName>
    <definedName name="PPT" localSheetId="15" hidden="1">#REF!</definedName>
    <definedName name="PPT" localSheetId="23" hidden="1">#REF!</definedName>
    <definedName name="PPT" hidden="1">#REF!</definedName>
    <definedName name="PRara">#REF!</definedName>
    <definedName name="PRcom">#REF!</definedName>
    <definedName name="PRcp">#REF!</definedName>
    <definedName name="PRIMERA">#REF!</definedName>
    <definedName name="PRIMERO">#REF!</definedName>
    <definedName name="PRIMES" localSheetId="4">#REF!</definedName>
    <definedName name="PRIMES" localSheetId="19">'Demanda Trafo A'!PRIMES</definedName>
    <definedName name="PRIMES" localSheetId="22">factores!PRIMES</definedName>
    <definedName name="PRIMES" localSheetId="16">'H1-CUADRO DE CARGAS'!PRIMES</definedName>
    <definedName name="PRIMES" localSheetId="3">#REF!</definedName>
    <definedName name="PRIMES" localSheetId="23">'Tablas Cables'!PRIMES</definedName>
    <definedName name="PRIMES">[0]!PRIMES</definedName>
    <definedName name="PRIMO">#REF!</definedName>
    <definedName name="Princ" localSheetId="15">#REF!</definedName>
    <definedName name="Princ" localSheetId="23">#REF!</definedName>
    <definedName name="Princ">#REF!</definedName>
    <definedName name="PRINCIPAL" localSheetId="4">#REF!</definedName>
    <definedName name="PRINCIPAL" localSheetId="19">'Demanda Trafo A'!PRINCIPAL</definedName>
    <definedName name="PRINCIPAL" localSheetId="22">factores!PRINCIPAL</definedName>
    <definedName name="PRINCIPAL" localSheetId="16">'H1-CUADRO DE CARGAS'!PRINCIPAL</definedName>
    <definedName name="PRINCIPAL" localSheetId="3">#REF!</definedName>
    <definedName name="PRINCIPAL" localSheetId="23">'Tablas Cables'!PRINCIPAL</definedName>
    <definedName name="PRINCIPAL">[0]!PRINCIPAL</definedName>
    <definedName name="Print_Area" localSheetId="4">'C.C. '!$A$8:$AH$40</definedName>
    <definedName name="Print_Area" localSheetId="12">'H4-CANALIZACIONES'!$B$1:$AE$36</definedName>
    <definedName name="Print_Area" localSheetId="17">NOTAS!$B$7:$AC$54</definedName>
    <definedName name="Print_Area" localSheetId="3">'PORTADA '!$A$1:$AH$52</definedName>
    <definedName name="Print_Area" localSheetId="1">TEORIA2!#REF!</definedName>
    <definedName name="Print_Area_Reset">#N/A</definedName>
    <definedName name="PRIVADO">#REF!</definedName>
    <definedName name="proc_func_id_001">#REF!</definedName>
    <definedName name="PROCEDIM_SELECC">#REF!</definedName>
    <definedName name="PROCESO">#REF!</definedName>
    <definedName name="ProdForm" hidden="1">#REF!</definedName>
    <definedName name="Product" hidden="1">#REF!</definedName>
    <definedName name="proj_id_001">#REF!</definedName>
    <definedName name="PROMEDIO_AÑO_TEMPORALES">#REF!</definedName>
    <definedName name="PROVISIONALES" hidden="1">#REF!</definedName>
    <definedName name="PROY99" localSheetId="4">#REF!</definedName>
    <definedName name="PROY99" localSheetId="19">'Demanda Trafo A'!PROY99</definedName>
    <definedName name="PROY99" localSheetId="22">factores!PROY99</definedName>
    <definedName name="PROY99" localSheetId="16">'H1-CUADRO DE CARGAS'!PROY99</definedName>
    <definedName name="PROY99" localSheetId="3">#REF!</definedName>
    <definedName name="PROY99" localSheetId="23">'Tablas Cables'!PROY99</definedName>
    <definedName name="PROY99">[0]!PROY99</definedName>
    <definedName name="proyeccióningresos" hidden="1">{"EVA",#N/A,FALSE,"SMT2";#N/A,#N/A,FALSE,"Summary";#N/A,#N/A,FALSE,"Graphs";#N/A,#N/A,FALSE,"4 Panel"}</definedName>
    <definedName name="PRPB_">#REF!</definedName>
    <definedName name="PRPI_">#REF!</definedName>
    <definedName name="PTEARAN_1">#REF!</definedName>
    <definedName name="PTO_Total" hidden="1">{#N/A,#N/A,FALSE,"Costos Productos 6A";#N/A,#N/A,FALSE,"Costo Unitario Total H-94-12"}</definedName>
    <definedName name="PUNTODEINSERCION">#REF!</definedName>
    <definedName name="PUTUMAYO">#REF!</definedName>
    <definedName name="PVcom">#REF!</definedName>
    <definedName name="PW">#REF!</definedName>
    <definedName name="pyg" localSheetId="4" hidden="1">{#N/A,#N/A,FALSE,"Costos Productos 6A";#N/A,#N/A,FALSE,"Costo Unitario Total H-94-12"}</definedName>
    <definedName name="pyg" localSheetId="19" hidden="1">{#N/A,#N/A,FALSE,"Costos Productos 6A";#N/A,#N/A,FALSE,"Costo Unitario Total H-94-12"}</definedName>
    <definedName name="pyg" localSheetId="16" hidden="1">{#N/A,#N/A,FALSE,"Costos Productos 6A";#N/A,#N/A,FALSE,"Costo Unitario Total H-94-12"}</definedName>
    <definedName name="pyg" localSheetId="3" hidden="1">{#N/A,#N/A,FALSE,"Costos Productos 6A";#N/A,#N/A,FALSE,"Costo Unitario Total H-94-12"}</definedName>
    <definedName name="pyg" localSheetId="15" hidden="1">{#N/A,#N/A,FALSE,"Costos Productos 6A";#N/A,#N/A,FALSE,"Costo Unitario Total H-94-12"}</definedName>
    <definedName name="pyg" localSheetId="23" hidden="1">{#N/A,#N/A,FALSE,"Costos Productos 6A";#N/A,#N/A,FALSE,"Costo Unitario Total H-94-12"}</definedName>
    <definedName name="pyg" localSheetId="0" hidden="1">{#N/A,#N/A,FALSE,"Costos Productos 6A";#N/A,#N/A,FALSE,"Costo Unitario Total H-94-12"}</definedName>
    <definedName name="pyg" hidden="1">{#N/A,#N/A,FALSE,"Costos Productos 6A";#N/A,#N/A,FALSE,"Costo Unitario Total H-94-12"}</definedName>
    <definedName name="PYGAJ" localSheetId="4" hidden="1">{#N/A,#N/A,FALSE,"VOL695";#N/A,#N/A,FALSE,"anexo1";#N/A,#N/A,FALSE,"anexo2";#N/A,#N/A,FALSE,"anexo3";#N/A,#N/A,FALSE,"anexo4";#N/A,#N/A,FALSE,"anexo5a";#N/A,#N/A,FALSE,"anexo5b";#N/A,#N/A,FALSE,"anexo6a";#N/A,#N/A,FALSE,"anexo6a";#N/A,#N/A,FALSE,"anexo6c";#N/A,#N/A,FALSE,"anexo7a";#N/A,#N/A,FALSE,"anexo7b";#N/A,#N/A,FALSE,"anexo7c"}</definedName>
    <definedName name="PYGAJ" localSheetId="19" hidden="1">{#N/A,#N/A,FALSE,"VOL695";#N/A,#N/A,FALSE,"anexo1";#N/A,#N/A,FALSE,"anexo2";#N/A,#N/A,FALSE,"anexo3";#N/A,#N/A,FALSE,"anexo4";#N/A,#N/A,FALSE,"anexo5a";#N/A,#N/A,FALSE,"anexo5b";#N/A,#N/A,FALSE,"anexo6a";#N/A,#N/A,FALSE,"anexo6a";#N/A,#N/A,FALSE,"anexo6c";#N/A,#N/A,FALSE,"anexo7a";#N/A,#N/A,FALSE,"anexo7b";#N/A,#N/A,FALSE,"anexo7c"}</definedName>
    <definedName name="PYGAJ" localSheetId="16" hidden="1">{#N/A,#N/A,FALSE,"VOL695";#N/A,#N/A,FALSE,"anexo1";#N/A,#N/A,FALSE,"anexo2";#N/A,#N/A,FALSE,"anexo3";#N/A,#N/A,FALSE,"anexo4";#N/A,#N/A,FALSE,"anexo5a";#N/A,#N/A,FALSE,"anexo5b";#N/A,#N/A,FALSE,"anexo6a";#N/A,#N/A,FALSE,"anexo6a";#N/A,#N/A,FALSE,"anexo6c";#N/A,#N/A,FALSE,"anexo7a";#N/A,#N/A,FALSE,"anexo7b";#N/A,#N/A,FALSE,"anexo7c"}</definedName>
    <definedName name="PYGAJ" localSheetId="3" hidden="1">{#N/A,#N/A,FALSE,"VOL695";#N/A,#N/A,FALSE,"anexo1";#N/A,#N/A,FALSE,"anexo2";#N/A,#N/A,FALSE,"anexo3";#N/A,#N/A,FALSE,"anexo4";#N/A,#N/A,FALSE,"anexo5a";#N/A,#N/A,FALSE,"anexo5b";#N/A,#N/A,FALSE,"anexo6a";#N/A,#N/A,FALSE,"anexo6a";#N/A,#N/A,FALSE,"anexo6c";#N/A,#N/A,FALSE,"anexo7a";#N/A,#N/A,FALSE,"anexo7b";#N/A,#N/A,FALSE,"anexo7c"}</definedName>
    <definedName name="PYGAJ" localSheetId="15" hidden="1">{#N/A,#N/A,FALSE,"VOL695";#N/A,#N/A,FALSE,"anexo1";#N/A,#N/A,FALSE,"anexo2";#N/A,#N/A,FALSE,"anexo3";#N/A,#N/A,FALSE,"anexo4";#N/A,#N/A,FALSE,"anexo5a";#N/A,#N/A,FALSE,"anexo5b";#N/A,#N/A,FALSE,"anexo6a";#N/A,#N/A,FALSE,"anexo6a";#N/A,#N/A,FALSE,"anexo6c";#N/A,#N/A,FALSE,"anexo7a";#N/A,#N/A,FALSE,"anexo7b";#N/A,#N/A,FALSE,"anexo7c"}</definedName>
    <definedName name="PYGAJ" localSheetId="23" hidden="1">{#N/A,#N/A,FALSE,"VOL695";#N/A,#N/A,FALSE,"anexo1";#N/A,#N/A,FALSE,"anexo2";#N/A,#N/A,FALSE,"anexo3";#N/A,#N/A,FALSE,"anexo4";#N/A,#N/A,FALSE,"anexo5a";#N/A,#N/A,FALSE,"anexo5b";#N/A,#N/A,FALSE,"anexo6a";#N/A,#N/A,FALSE,"anexo6a";#N/A,#N/A,FALSE,"anexo6c";#N/A,#N/A,FALSE,"anexo7a";#N/A,#N/A,FALSE,"anexo7b";#N/A,#N/A,FALSE,"anexo7c"}</definedName>
    <definedName name="PYGAJ" localSheetId="0" hidden="1">{#N/A,#N/A,FALSE,"VOL695";#N/A,#N/A,FALSE,"anexo1";#N/A,#N/A,FALSE,"anexo2";#N/A,#N/A,FALSE,"anexo3";#N/A,#N/A,FALSE,"anexo4";#N/A,#N/A,FALSE,"anexo5a";#N/A,#N/A,FALSE,"anexo5b";#N/A,#N/A,FALSE,"anexo6a";#N/A,#N/A,FALSE,"anexo6a";#N/A,#N/A,FALSE,"anexo6c";#N/A,#N/A,FALSE,"anexo7a";#N/A,#N/A,FALSE,"anexo7b";#N/A,#N/A,FALSE,"anexo7c"}</definedName>
    <definedName name="PYGAJ" hidden="1">{#N/A,#N/A,FALSE,"VOL695";#N/A,#N/A,FALSE,"anexo1";#N/A,#N/A,FALSE,"anexo2";#N/A,#N/A,FALSE,"anexo3";#N/A,#N/A,FALSE,"anexo4";#N/A,#N/A,FALSE,"anexo5a";#N/A,#N/A,FALSE,"anexo5b";#N/A,#N/A,FALSE,"anexo6a";#N/A,#N/A,FALSE,"anexo6a";#N/A,#N/A,FALSE,"anexo6c";#N/A,#N/A,FALSE,"anexo7a";#N/A,#N/A,FALSE,"anexo7b";#N/A,#N/A,FALSE,"anexo7c"}</definedName>
    <definedName name="PYGCON" localSheetId="4" hidden="1">{#N/A,#N/A,FALSE,"Costos Productos 6A";#N/A,#N/A,FALSE,"Costo Unitario Total H-94-12"}</definedName>
    <definedName name="PYGCON" localSheetId="19" hidden="1">{#N/A,#N/A,FALSE,"Costos Productos 6A";#N/A,#N/A,FALSE,"Costo Unitario Total H-94-12"}</definedName>
    <definedName name="PYGCON" localSheetId="16" hidden="1">{#N/A,#N/A,FALSE,"Costos Productos 6A";#N/A,#N/A,FALSE,"Costo Unitario Total H-94-12"}</definedName>
    <definedName name="PYGCON" localSheetId="3" hidden="1">{#N/A,#N/A,FALSE,"Costos Productos 6A";#N/A,#N/A,FALSE,"Costo Unitario Total H-94-12"}</definedName>
    <definedName name="PYGCON" localSheetId="15" hidden="1">{#N/A,#N/A,FALSE,"Costos Productos 6A";#N/A,#N/A,FALSE,"Costo Unitario Total H-94-12"}</definedName>
    <definedName name="PYGCON" localSheetId="23" hidden="1">{#N/A,#N/A,FALSE,"Costos Productos 6A";#N/A,#N/A,FALSE,"Costo Unitario Total H-94-12"}</definedName>
    <definedName name="PYGCON" localSheetId="0" hidden="1">{#N/A,#N/A,FALSE,"Costos Productos 6A";#N/A,#N/A,FALSE,"Costo Unitario Total H-94-12"}</definedName>
    <definedName name="PYGCON" hidden="1">{#N/A,#N/A,FALSE,"Costos Productos 6A";#N/A,#N/A,FALSE,"Costo Unitario Total H-94-12"}</definedName>
    <definedName name="PYGCONTABLE" localSheetId="4" hidden="1">{#N/A,#N/A,FALSE,"Costos Productos 6A";#N/A,#N/A,FALSE,"Costo Unitario Total H-94-12"}</definedName>
    <definedName name="PYGCONTABLE" localSheetId="19" hidden="1">{#N/A,#N/A,FALSE,"Costos Productos 6A";#N/A,#N/A,FALSE,"Costo Unitario Total H-94-12"}</definedName>
    <definedName name="PYGCONTABLE" localSheetId="16" hidden="1">{#N/A,#N/A,FALSE,"Costos Productos 6A";#N/A,#N/A,FALSE,"Costo Unitario Total H-94-12"}</definedName>
    <definedName name="PYGCONTABLE" localSheetId="3" hidden="1">{#N/A,#N/A,FALSE,"Costos Productos 6A";#N/A,#N/A,FALSE,"Costo Unitario Total H-94-12"}</definedName>
    <definedName name="PYGCONTABLE" localSheetId="15" hidden="1">{#N/A,#N/A,FALSE,"Costos Productos 6A";#N/A,#N/A,FALSE,"Costo Unitario Total H-94-12"}</definedName>
    <definedName name="PYGCONTABLE" localSheetId="23" hidden="1">{#N/A,#N/A,FALSE,"Costos Productos 6A";#N/A,#N/A,FALSE,"Costo Unitario Total H-94-12"}</definedName>
    <definedName name="PYGCONTABLE" localSheetId="0" hidden="1">{#N/A,#N/A,FALSE,"Costos Productos 6A";#N/A,#N/A,FALSE,"Costo Unitario Total H-94-12"}</definedName>
    <definedName name="PYGCONTABLE" hidden="1">{#N/A,#N/A,FALSE,"Costos Productos 6A";#N/A,#N/A,FALSE,"Costo Unitario Total H-94-12"}</definedName>
    <definedName name="PYGCONTBLCRUDO" localSheetId="4" hidden="1">{#N/A,#N/A,FALSE,"Costos Productos 6A";#N/A,#N/A,FALSE,"Costo Unitario Total H-94-12"}</definedName>
    <definedName name="PYGCONTBLCRUDO" localSheetId="19" hidden="1">{#N/A,#N/A,FALSE,"Costos Productos 6A";#N/A,#N/A,FALSE,"Costo Unitario Total H-94-12"}</definedName>
    <definedName name="PYGCONTBLCRUDO" localSheetId="16" hidden="1">{#N/A,#N/A,FALSE,"Costos Productos 6A";#N/A,#N/A,FALSE,"Costo Unitario Total H-94-12"}</definedName>
    <definedName name="PYGCONTBLCRUDO" localSheetId="3" hidden="1">{#N/A,#N/A,FALSE,"Costos Productos 6A";#N/A,#N/A,FALSE,"Costo Unitario Total H-94-12"}</definedName>
    <definedName name="PYGCONTBLCRUDO" localSheetId="15" hidden="1">{#N/A,#N/A,FALSE,"Costos Productos 6A";#N/A,#N/A,FALSE,"Costo Unitario Total H-94-12"}</definedName>
    <definedName name="PYGCONTBLCRUDO" localSheetId="23" hidden="1">{#N/A,#N/A,FALSE,"Costos Productos 6A";#N/A,#N/A,FALSE,"Costo Unitario Total H-94-12"}</definedName>
    <definedName name="PYGCONTBLCRUDO" localSheetId="0" hidden="1">{#N/A,#N/A,FALSE,"Costos Productos 6A";#N/A,#N/A,FALSE,"Costo Unitario Total H-94-12"}</definedName>
    <definedName name="PYGCONTBLCRUDO" hidden="1">{#N/A,#N/A,FALSE,"Costos Productos 6A";#N/A,#N/A,FALSE,"Costo Unitario Total H-94-12"}</definedName>
    <definedName name="PYGCONTPTO" localSheetId="4" hidden="1">{#N/A,#N/A,FALSE,"Costos Productos 6A";#N/A,#N/A,FALSE,"Costo Unitario Total H-94-12"}</definedName>
    <definedName name="PYGCONTPTO" localSheetId="19" hidden="1">{#N/A,#N/A,FALSE,"Costos Productos 6A";#N/A,#N/A,FALSE,"Costo Unitario Total H-94-12"}</definedName>
    <definedName name="PYGCONTPTO" localSheetId="16" hidden="1">{#N/A,#N/A,FALSE,"Costos Productos 6A";#N/A,#N/A,FALSE,"Costo Unitario Total H-94-12"}</definedName>
    <definedName name="PYGCONTPTO" localSheetId="3" hidden="1">{#N/A,#N/A,FALSE,"Costos Productos 6A";#N/A,#N/A,FALSE,"Costo Unitario Total H-94-12"}</definedName>
    <definedName name="PYGCONTPTO" localSheetId="15" hidden="1">{#N/A,#N/A,FALSE,"Costos Productos 6A";#N/A,#N/A,FALSE,"Costo Unitario Total H-94-12"}</definedName>
    <definedName name="PYGCONTPTO" localSheetId="23" hidden="1">{#N/A,#N/A,FALSE,"Costos Productos 6A";#N/A,#N/A,FALSE,"Costo Unitario Total H-94-12"}</definedName>
    <definedName name="PYGCONTPTO" localSheetId="0" hidden="1">{#N/A,#N/A,FALSE,"Costos Productos 6A";#N/A,#N/A,FALSE,"Costo Unitario Total H-94-12"}</definedName>
    <definedName name="PYGCONTPTO" hidden="1">{#N/A,#N/A,FALSE,"Costos Productos 6A";#N/A,#N/A,FALSE,"Costo Unitario Total H-94-12"}</definedName>
    <definedName name="PYGGRCAJ" localSheetId="4" hidden="1">{#N/A,#N/A,FALSE,"Costos Productos 6A";#N/A,#N/A,FALSE,"Costo Unitario Total H-94-12"}</definedName>
    <definedName name="PYGGRCAJ" localSheetId="19" hidden="1">{#N/A,#N/A,FALSE,"Costos Productos 6A";#N/A,#N/A,FALSE,"Costo Unitario Total H-94-12"}</definedName>
    <definedName name="PYGGRCAJ" localSheetId="16" hidden="1">{#N/A,#N/A,FALSE,"Costos Productos 6A";#N/A,#N/A,FALSE,"Costo Unitario Total H-94-12"}</definedName>
    <definedName name="PYGGRCAJ" localSheetId="3" hidden="1">{#N/A,#N/A,FALSE,"Costos Productos 6A";#N/A,#N/A,FALSE,"Costo Unitario Total H-94-12"}</definedName>
    <definedName name="PYGGRCAJ" localSheetId="15" hidden="1">{#N/A,#N/A,FALSE,"Costos Productos 6A";#N/A,#N/A,FALSE,"Costo Unitario Total H-94-12"}</definedName>
    <definedName name="PYGGRCAJ" localSheetId="23" hidden="1">{#N/A,#N/A,FALSE,"Costos Productos 6A";#N/A,#N/A,FALSE,"Costo Unitario Total H-94-12"}</definedName>
    <definedName name="PYGGRCAJ" localSheetId="0" hidden="1">{#N/A,#N/A,FALSE,"Costos Productos 6A";#N/A,#N/A,FALSE,"Costo Unitario Total H-94-12"}</definedName>
    <definedName name="PYGGRCAJ" hidden="1">{#N/A,#N/A,FALSE,"Costos Productos 6A";#N/A,#N/A,FALSE,"Costo Unitario Total H-94-12"}</definedName>
    <definedName name="PYGHGRC" localSheetId="4" hidden="1">{#N/A,#N/A,FALSE,"Costos Productos 6A";#N/A,#N/A,FALSE,"Costo Unitario Total H-94-12"}</definedName>
    <definedName name="PYGHGRC" localSheetId="19" hidden="1">{#N/A,#N/A,FALSE,"Costos Productos 6A";#N/A,#N/A,FALSE,"Costo Unitario Total H-94-12"}</definedName>
    <definedName name="PYGHGRC" localSheetId="16" hidden="1">{#N/A,#N/A,FALSE,"Costos Productos 6A";#N/A,#N/A,FALSE,"Costo Unitario Total H-94-12"}</definedName>
    <definedName name="PYGHGRC" localSheetId="3" hidden="1">{#N/A,#N/A,FALSE,"Costos Productos 6A";#N/A,#N/A,FALSE,"Costo Unitario Total H-94-12"}</definedName>
    <definedName name="PYGHGRC" localSheetId="15" hidden="1">{#N/A,#N/A,FALSE,"Costos Productos 6A";#N/A,#N/A,FALSE,"Costo Unitario Total H-94-12"}</definedName>
    <definedName name="PYGHGRC" localSheetId="23" hidden="1">{#N/A,#N/A,FALSE,"Costos Productos 6A";#N/A,#N/A,FALSE,"Costo Unitario Total H-94-12"}</definedName>
    <definedName name="PYGHGRC" localSheetId="0" hidden="1">{#N/A,#N/A,FALSE,"Costos Productos 6A";#N/A,#N/A,FALSE,"Costo Unitario Total H-94-12"}</definedName>
    <definedName name="PYGHGRC" hidden="1">{#N/A,#N/A,FALSE,"Costos Productos 6A";#N/A,#N/A,FALSE,"Costo Unitario Total H-94-12"}</definedName>
    <definedName name="PYGRC" localSheetId="4" hidden="1">{#N/A,#N/A,FALSE,"VOL695";#N/A,#N/A,FALSE,"anexo1";#N/A,#N/A,FALSE,"anexo2";#N/A,#N/A,FALSE,"anexo3";#N/A,#N/A,FALSE,"anexo4";#N/A,#N/A,FALSE,"anexo5a";#N/A,#N/A,FALSE,"anexo5b";#N/A,#N/A,FALSE,"anexo6a";#N/A,#N/A,FALSE,"anexo6a";#N/A,#N/A,FALSE,"anexo6c";#N/A,#N/A,FALSE,"anexo7a";#N/A,#N/A,FALSE,"anexo7b";#N/A,#N/A,FALSE,"anexo7c"}</definedName>
    <definedName name="PYGRC" localSheetId="19" hidden="1">{#N/A,#N/A,FALSE,"VOL695";#N/A,#N/A,FALSE,"anexo1";#N/A,#N/A,FALSE,"anexo2";#N/A,#N/A,FALSE,"anexo3";#N/A,#N/A,FALSE,"anexo4";#N/A,#N/A,FALSE,"anexo5a";#N/A,#N/A,FALSE,"anexo5b";#N/A,#N/A,FALSE,"anexo6a";#N/A,#N/A,FALSE,"anexo6a";#N/A,#N/A,FALSE,"anexo6c";#N/A,#N/A,FALSE,"anexo7a";#N/A,#N/A,FALSE,"anexo7b";#N/A,#N/A,FALSE,"anexo7c"}</definedName>
    <definedName name="PYGRC" localSheetId="16" hidden="1">{#N/A,#N/A,FALSE,"VOL695";#N/A,#N/A,FALSE,"anexo1";#N/A,#N/A,FALSE,"anexo2";#N/A,#N/A,FALSE,"anexo3";#N/A,#N/A,FALSE,"anexo4";#N/A,#N/A,FALSE,"anexo5a";#N/A,#N/A,FALSE,"anexo5b";#N/A,#N/A,FALSE,"anexo6a";#N/A,#N/A,FALSE,"anexo6a";#N/A,#N/A,FALSE,"anexo6c";#N/A,#N/A,FALSE,"anexo7a";#N/A,#N/A,FALSE,"anexo7b";#N/A,#N/A,FALSE,"anexo7c"}</definedName>
    <definedName name="PYGRC" localSheetId="3" hidden="1">{#N/A,#N/A,FALSE,"VOL695";#N/A,#N/A,FALSE,"anexo1";#N/A,#N/A,FALSE,"anexo2";#N/A,#N/A,FALSE,"anexo3";#N/A,#N/A,FALSE,"anexo4";#N/A,#N/A,FALSE,"anexo5a";#N/A,#N/A,FALSE,"anexo5b";#N/A,#N/A,FALSE,"anexo6a";#N/A,#N/A,FALSE,"anexo6a";#N/A,#N/A,FALSE,"anexo6c";#N/A,#N/A,FALSE,"anexo7a";#N/A,#N/A,FALSE,"anexo7b";#N/A,#N/A,FALSE,"anexo7c"}</definedName>
    <definedName name="PYGRC" localSheetId="15" hidden="1">{#N/A,#N/A,FALSE,"VOL695";#N/A,#N/A,FALSE,"anexo1";#N/A,#N/A,FALSE,"anexo2";#N/A,#N/A,FALSE,"anexo3";#N/A,#N/A,FALSE,"anexo4";#N/A,#N/A,FALSE,"anexo5a";#N/A,#N/A,FALSE,"anexo5b";#N/A,#N/A,FALSE,"anexo6a";#N/A,#N/A,FALSE,"anexo6a";#N/A,#N/A,FALSE,"anexo6c";#N/A,#N/A,FALSE,"anexo7a";#N/A,#N/A,FALSE,"anexo7b";#N/A,#N/A,FALSE,"anexo7c"}</definedName>
    <definedName name="PYGRC" localSheetId="23" hidden="1">{#N/A,#N/A,FALSE,"VOL695";#N/A,#N/A,FALSE,"anexo1";#N/A,#N/A,FALSE,"anexo2";#N/A,#N/A,FALSE,"anexo3";#N/A,#N/A,FALSE,"anexo4";#N/A,#N/A,FALSE,"anexo5a";#N/A,#N/A,FALSE,"anexo5b";#N/A,#N/A,FALSE,"anexo6a";#N/A,#N/A,FALSE,"anexo6a";#N/A,#N/A,FALSE,"anexo6c";#N/A,#N/A,FALSE,"anexo7a";#N/A,#N/A,FALSE,"anexo7b";#N/A,#N/A,FALSE,"anexo7c"}</definedName>
    <definedName name="PYGRC" localSheetId="0" hidden="1">{#N/A,#N/A,FALSE,"VOL695";#N/A,#N/A,FALSE,"anexo1";#N/A,#N/A,FALSE,"anexo2";#N/A,#N/A,FALSE,"anexo3";#N/A,#N/A,FALSE,"anexo4";#N/A,#N/A,FALSE,"anexo5a";#N/A,#N/A,FALSE,"anexo5b";#N/A,#N/A,FALSE,"anexo6a";#N/A,#N/A,FALSE,"anexo6a";#N/A,#N/A,FALSE,"anexo6c";#N/A,#N/A,FALSE,"anexo7a";#N/A,#N/A,FALSE,"anexo7b";#N/A,#N/A,FALSE,"anexo7c"}</definedName>
    <definedName name="PYGRC" hidden="1">{#N/A,#N/A,FALSE,"VOL695";#N/A,#N/A,FALSE,"anexo1";#N/A,#N/A,FALSE,"anexo2";#N/A,#N/A,FALSE,"anexo3";#N/A,#N/A,FALSE,"anexo4";#N/A,#N/A,FALSE,"anexo5a";#N/A,#N/A,FALSE,"anexo5b";#N/A,#N/A,FALSE,"anexo6a";#N/A,#N/A,FALSE,"anexo6a";#N/A,#N/A,FALSE,"anexo6c";#N/A,#N/A,FALSE,"anexo7a";#N/A,#N/A,FALSE,"anexo7b";#N/A,#N/A,FALSE,"anexo7c"}</definedName>
    <definedName name="q" hidden="1">#REF!</definedName>
    <definedName name="QAZ" hidden="1">{#N/A,#N/A,FALSE,"EACT"}</definedName>
    <definedName name="qc_h" hidden="1">{"krl1",#N/A,FALSE,"kr";"krl2",#N/A,FALSE,"kr";"compara",#N/A,FALSE,"kr";"desconp1",#N/A,FALSE,"kr";"desconp12",#N/A,FALSE,"kr";"krnp1",#N/A,FALSE,"kr";"krnp2",#N/A,FALSE,"kr";"krp12avg",#N/A,FALSE,"kr";"krp1avg",#N/A,FALSE,"kr"}</definedName>
    <definedName name="QE" hidden="1">{#N/A,#N/A,FALSE,"Costos Productos 6A";#N/A,#N/A,FALSE,"Costo Unitario Total H-94-12"}</definedName>
    <definedName name="qq" hidden="1">{"EVA",#N/A,FALSE,"SMT2";#N/A,#N/A,FALSE,"Summary";#N/A,#N/A,FALSE,"Graphs";#N/A,#N/A,FALSE,"4 Panel"}</definedName>
    <definedName name="qqq" hidden="1">{"EVA",#N/A,FALSE,"SMT2";#N/A,#N/A,FALSE,"Summary";#N/A,#N/A,FALSE,"Graphs";#N/A,#N/A,FALSE,"4 Panel"}</definedName>
    <definedName name="QQQQ" hidden="1">#REF!</definedName>
    <definedName name="qqqqqqqqqqqq" hidden="1">{"EVA",#N/A,FALSE,"SMT2";#N/A,#N/A,FALSE,"Summary";#N/A,#N/A,FALSE,"Graphs";#N/A,#N/A,FALSE,"4 Panel"}</definedName>
    <definedName name="QQQQQQQQQQQQQQQ" hidden="1">#REF!</definedName>
    <definedName name="QR" hidden="1">{#N/A,#N/A,FALSE,"Costos Productos 6A";#N/A,#N/A,FALSE,"Costo Unitario Total H-94-12"}</definedName>
    <definedName name="QT" hidden="1">{#N/A,#N/A,FALSE,"Costos Productos 6A";#N/A,#N/A,FALSE,"Costo Unitario Total H-94-12"}</definedName>
    <definedName name="QU" hidden="1">{#N/A,#N/A,FALSE,"Costos Productos 6A";#N/A,#N/A,FALSE,"Costo Unitario Total H-94-12"}</definedName>
    <definedName name="QUEA_">#REF!</definedName>
    <definedName name="QUEB_">#REF!</definedName>
    <definedName name="QUINDÍO">#REF!</definedName>
    <definedName name="QW" hidden="1">{#N/A,#N/A,FALSE,"Costos Productos 6A";#N/A,#N/A,FALSE,"Costo Unitario Total H-94-12"}</definedName>
    <definedName name="qwe" hidden="1">{#N/A,#N/A,FALSE,"EACT"}</definedName>
    <definedName name="qwewertet" localSheetId="19" hidden="1">{#N/A,#N/A,TRUE,"1842CWN0"}</definedName>
    <definedName name="qwewertet" localSheetId="22" hidden="1">{#N/A,#N/A,TRUE,"1842CWN0"}</definedName>
    <definedName name="qwewertet" localSheetId="16" hidden="1">{#N/A,#N/A,TRUE,"1842CWN0"}</definedName>
    <definedName name="qwewertet" localSheetId="23" hidden="1">{#N/A,#N/A,TRUE,"1842CWN0"}</definedName>
    <definedName name="qwewertet" hidden="1">{#N/A,#N/A,TRUE,"1842CWN0"}</definedName>
    <definedName name="QWQ" hidden="1">{#N/A,#N/A,FALSE,"DMC schedule";#N/A,#N/A,FALSE,"DMC_THC Revenue";#N/A,#N/A,FALSE,"Personnel plan";#N/A,#N/A,FALSE,"Capex HW+SW";#N/A,#N/A,FALSE,"P&amp;L"}</definedName>
    <definedName name="QWW" hidden="1">{#N/A,#N/A,FALSE,"DMC schedule";#N/A,#N/A,FALSE,"DMC_THC Revenue";#N/A,#N/A,FALSE,"Personnel plan";#N/A,#N/A,FALSE,"Capex HW+SW";#N/A,#N/A,FALSE,"P&amp;L"}</definedName>
    <definedName name="R_2">#REF!</definedName>
    <definedName name="R_c">#REF!</definedName>
    <definedName name="RAADDV">#REF!</definedName>
    <definedName name="rated_active_load_001">#REF!</definedName>
    <definedName name="rated_apparent_load_001">#REF!</definedName>
    <definedName name="rated_reactive_load_001">#REF!</definedName>
    <definedName name="rated_voltage_id_001">#REF!</definedName>
    <definedName name="RCArea" hidden="1">#REF!</definedName>
    <definedName name="RDDV">#REF!</definedName>
    <definedName name="RECURSOS">#REF!</definedName>
    <definedName name="RECURSOS1">#REF!</definedName>
    <definedName name="red" hidden="1">{#N/A,#N/A,FALSE,"Index";#N/A,#N/A,FALSE,"inc stmt ";#N/A,#N/A,FALSE,"Prior Yr compare";#N/A,#N/A,FALSE,"Prior Mo compare";#N/A,#N/A,FALSE,"Halco graphs";#N/A,#N/A,FALSE,"Halco CVA";#N/A,#N/A,FALSE,"balsheet";#N/A,#N/A,FALSE,"Cflow long";#N/A,#N/A,FALSE,"Cfland T";#N/A,#N/A,FALSE,"Cfland M";#N/A,#N/A,FALSE,"HEG ytd psl";#N/A,#N/A,FALSE,"HEG mo psl";#N/A,#N/A,FALSE,"HEG graphs";#N/A,#N/A,FALSE,"HEG CVA";#N/A,#N/A,FALSE,"E&amp;C ytd psl";#N/A,#N/A,FALSE,"E&amp;C mo psl ";#N/A,#N/A,FALSE,"E&amp;C graphs";#N/A,#N/A,FALSE,"E&amp;C CVA";#N/A,#N/A,FALSE,"suppl-psl";#N/A,#N/A,FALSE,"Reconcile (ytd)";#N/A,#N/A,FALSE,"Reconcile (mon)"}</definedName>
    <definedName name="REG">#REF!</definedName>
    <definedName name="REGIMEN_CONTRAT">#REF!</definedName>
    <definedName name="Region">#REF!</definedName>
    <definedName name="REGIONAL">#REF!</definedName>
    <definedName name="REGULACION" localSheetId="19">IF([0]!Loan_Amount*[0]!Interest_Rate*[0]!Loan_Years*[0]!Loan_Start&gt;0,1,0)</definedName>
    <definedName name="REGULACION" localSheetId="16">IF([0]!Loan_Amount*[0]!Interest_Rate*[0]!Loan_Years*[0]!Loan_Start&gt;0,1,0)</definedName>
    <definedName name="REGULACION" localSheetId="13">IF([0]!Loan_Amount*[0]!Interest_Rate*[0]!Loan_Years*[0]!Loan_Start&gt;0,1,0)</definedName>
    <definedName name="REGULACION" localSheetId="15">IF(RESUMEN!Loan_Amount*RESUMEN!Interest_Rate*RESUMEN!Loan_Years*RESUMEN!Loan_Start&gt;0,1,0)</definedName>
    <definedName name="REGULACION" localSheetId="23">IF('Tablas Cables'!Loan_Amount*'Tablas Cables'!Interest_Rate*'Tablas Cables'!Loan_Years*'Tablas Cables'!Loan_Start&gt;0,1,0)</definedName>
    <definedName name="REGULACION" localSheetId="0">IF(Loan_Amount*Interest_Rate*Loan_Years*[0]!Loan_Start&gt;0,1,0)</definedName>
    <definedName name="REGULACION">IF([0]!Loan_Amount*[0]!Interest_Rate*[0]!Loan_Years*[0]!Loan_Start&gt;0,1,0)</definedName>
    <definedName name="REGULAR">#REF!</definedName>
    <definedName name="Rejilla_T">#REF!</definedName>
    <definedName name="rel" hidden="1">{#N/A,#N/A,FALSE,"3mthsum.xls";#N/A,#N/A,FALSE,"fcstmth1.xls";#N/A,#N/A,FALSE,"fcstmth2.xls";#N/A,#N/A,FALSE,"fcstmth3.xls";#N/A,#N/A,FALSE,"cntsprt.xls";#N/A,#N/A,FALSE,"fldind.xls";#N/A,#N/A,FALSE,"epo.xls";#N/A,#N/A,FALSE,"tech.xls";#N/A,#N/A,FALSE,"train.xls";#N/A,#N/A,FALSE,"realest.xls";#N/A,#N/A,FALSE,"cfs.xls"}</definedName>
    <definedName name="related_voltage_id_001">#REF!</definedName>
    <definedName name="repos">#REF!</definedName>
    <definedName name="reposicion">#REF!</definedName>
    <definedName name="req_no_001">#REF!</definedName>
    <definedName name="requires_power_supply_001">#REF!</definedName>
    <definedName name="RESP">#REF!</definedName>
    <definedName name="resu8">#REF!</definedName>
    <definedName name="resumen" localSheetId="4">#REF!</definedName>
    <definedName name="RESUMEN" localSheetId="19">MATCH(0.01,[0]!End_Bal,-1)+1</definedName>
    <definedName name="RESUMEN" localSheetId="16">MATCH(0.01,[0]!End_Bal,-1)+1</definedName>
    <definedName name="RESUMEN" localSheetId="13">MATCH(0.01,[0]!End_Bal,-1)+1</definedName>
    <definedName name="resumen" localSheetId="3">#REF!</definedName>
    <definedName name="RESUMEN" localSheetId="15">MATCH(0.01,RESUMEN!End_Bal,-1)+1</definedName>
    <definedName name="RESUMEN" localSheetId="23">MATCH(0.01,'Tablas Cables'!End_Bal,-1)+1</definedName>
    <definedName name="RESUMEN" localSheetId="0">MATCH(0.01,[0]!End_Bal,-1)+1</definedName>
    <definedName name="RESUMEN">MATCH(0.01,[0]!End_Bal,-1)+1</definedName>
    <definedName name="retosplantas" hidden="1">{"EVA",#N/A,FALSE,"SMT2";#N/A,#N/A,FALSE,"Summary";#N/A,#N/A,FALSE,"Graphs";#N/A,#N/A,FALSE,"4 Panel"}</definedName>
    <definedName name="rev_id_001">#REF!</definedName>
    <definedName name="REVISIONES">#REF!</definedName>
    <definedName name="RGM" hidden="1">{#N/A,#N/A,FALSE,"DITCAR";#N/A,#N/A,FALSE,"a1";#N/A,#N/A,FALSE,"a2";#N/A,#N/A,FALSE,"a3";#N/A,#N/A,FALSE,"a4";#N/A,#N/A,FALSE,"a4a";#N/A,#N/A,FALSE,"a4B";#N/A,#N/A,FALSE,"a4C";#N/A,#N/A,FALSE,"A5a ";#N/A,#N/A,FALSE,"A5b";#N/A,#N/A,FALSE,"A6A";#N/A,#N/A,FALSE,"A6B";#N/A,#N/A,FALSE,"A6C";#N/A,#N/A,FALSE,"04PG12NB"}</definedName>
    <definedName name="rgmax" localSheetId="15">#REF!</definedName>
    <definedName name="rgmax" localSheetId="23">#REF!</definedName>
    <definedName name="rgmax">#REF!</definedName>
    <definedName name="RIO" hidden="1">#REF!</definedName>
    <definedName name="RISARALDA">#REF!</definedName>
    <definedName name="RiskAfterRecalcMacro" hidden="1">""</definedName>
    <definedName name="RiskAfterSimMacro" hidden="1">""</definedName>
    <definedName name="riskATSSboxGraph" hidden="1">FALSE</definedName>
    <definedName name="riskATSSincludeSimtables" hidden="1">TRUE</definedName>
    <definedName name="riskATSSinputsGraphs" hidden="1">FALSE</definedName>
    <definedName name="riskATSSoutputStatistic" hidden="1">3</definedName>
    <definedName name="riskATSSpercentChangeGraph" hidden="1">TRUE</definedName>
    <definedName name="riskATSSpercentileGraph" hidden="1">TRUE</definedName>
    <definedName name="riskATSSpercentileValue" hidden="1">0.5</definedName>
    <definedName name="riskATSSprintReport" hidden="1">FALSE</definedName>
    <definedName name="riskATSSreportsInActiveBook" hidden="1">FALSE</definedName>
    <definedName name="riskATSSreportsSelected" hidden="1">TRUE</definedName>
    <definedName name="riskATSSsummaryReport" hidden="1">TRUE</definedName>
    <definedName name="riskATSStornadoGraph" hidden="1">TRUE</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electedCell" hidden="1">"$J$11"</definedName>
    <definedName name="RiskSelectedNameCell1" hidden="1">"$H$11"</definedName>
    <definedName name="RiskSelectedNameCell2" hidden="1">"$J$3"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#REF!</definedName>
    <definedName name="RR" localSheetId="22" hidden="1">#REF!</definedName>
    <definedName name="RR" hidden="1">#REF!</definedName>
    <definedName name="RTcom">#REF!</definedName>
    <definedName name="RTcov">#REF!</definedName>
    <definedName name="RTodc">#REF!</definedName>
    <definedName name="rtuhrjfyj"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 name="rtuhrjfyj_1"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 name="rtuhrjfyj_2"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 name="RTY" hidden="1">{#N/A,#N/A,FALSE,"EACT"}</definedName>
    <definedName name="RUT">#REF!</definedName>
    <definedName name="RUTA" localSheetId="4">#REF!</definedName>
    <definedName name="RUTA" localSheetId="19">'Demanda Trafo A'!RUTA</definedName>
    <definedName name="RUTA" localSheetId="22">factores!RUTA</definedName>
    <definedName name="RUTA" localSheetId="16">'H1-CUADRO DE CARGAS'!RUTA</definedName>
    <definedName name="RUTA" localSheetId="3">#REF!</definedName>
    <definedName name="RUTA" localSheetId="23">'Tablas Cables'!RUTA</definedName>
    <definedName name="RUTA">[0]!RUTA</definedName>
    <definedName name="RUTA_ELÉCTRICA" localSheetId="12">Listas!$H$2:$H$6</definedName>
    <definedName name="RUTA_ELÉCTRICA" localSheetId="17">Listas!$H$2:$H$6</definedName>
    <definedName name="RUTA_ELÉCTRICA" localSheetId="15">#REF!</definedName>
    <definedName name="RUTA_ELÉCTRICA" localSheetId="23">#REF!</definedName>
    <definedName name="RUTA_ELÉCTRICA" localSheetId="0">#REF!</definedName>
    <definedName name="RUTA_ELÉCTRICA">Listas!$H$2:$H$6</definedName>
    <definedName name="rvff">#REF!</definedName>
    <definedName name="Rwvu.oil." localSheetId="22" hidden="1">#REF!,#REF!</definedName>
    <definedName name="Rwvu.oil." localSheetId="23" hidden="1">#REF!,#REF!</definedName>
    <definedName name="Rwvu.oil." hidden="1">#REF!,#REF!</definedName>
    <definedName name="Rwvu.oilgasagua." hidden="1">#REF!,#REF!</definedName>
    <definedName name="Rx" localSheetId="22" hidden="1">#REF!</definedName>
    <definedName name="Rx" localSheetId="23" hidden="1">#REF!</definedName>
    <definedName name="Rx" hidden="1">#REF!</definedName>
    <definedName name="s" localSheetId="4" hidden="1">{#N/A,#N/A,FALSE,"CIBHA05A";#N/A,#N/A,FALSE,"CIBHA05B"}</definedName>
    <definedName name="s" localSheetId="19" hidden="1">{#N/A,#N/A,FALSE,"CIBHA05A";#N/A,#N/A,FALSE,"CIBHA05B"}</definedName>
    <definedName name="s" localSheetId="16" hidden="1">{#N/A,#N/A,FALSE,"CIBHA05A";#N/A,#N/A,FALSE,"CIBHA05B"}</definedName>
    <definedName name="s" localSheetId="3" hidden="1">{#N/A,#N/A,FALSE,"CIBHA05A";#N/A,#N/A,FALSE,"CIBHA05B"}</definedName>
    <definedName name="s" localSheetId="15" hidden="1">{#N/A,#N/A,FALSE,"CIBHA05A";#N/A,#N/A,FALSE,"CIBHA05B"}</definedName>
    <definedName name="s" localSheetId="23" hidden="1">{#N/A,#N/A,FALSE,"CIBHA05A";#N/A,#N/A,FALSE,"CIBHA05B"}</definedName>
    <definedName name="s" localSheetId="0" hidden="1">{#N/A,#N/A,FALSE,"CIBHA05A";#N/A,#N/A,FALSE,"CIBHA05B"}</definedName>
    <definedName name="s" hidden="1">{#N/A,#N/A,FALSE,"CIBHA05A";#N/A,#N/A,FALSE,"CIBHA05B"}</definedName>
    <definedName name="SADAD" hidden="1">{#N/A,#N/A,FALSE,"Costos Productos 6A";#N/A,#N/A,FALSE,"Costo Unitario Total H-94-12"}</definedName>
    <definedName name="SAGAR_2">#REF!</definedName>
    <definedName name="SALARIOS">#REF!</definedName>
    <definedName name="SALARIOS1">#REF!</definedName>
    <definedName name="SalConv">#REF!</definedName>
    <definedName name="SALGAR_1">#REF!</definedName>
    <definedName name="SALGAR_3">#REF!</definedName>
    <definedName name="saltoC" localSheetId="4">IF(ISERROR(MATCH(COLUMN(),spv)),1,1+MATCH(COLUMN(),spv))</definedName>
    <definedName name="saltoC">IF(ISERROR(MATCH(COLUMN(),spv)),1,1+MATCH(COLUMN(),spv))</definedName>
    <definedName name="saltoF" localSheetId="4">IF(ISERROR(MATCH(ROW(),sph)),1,1+MATCH(ROW(),sph))</definedName>
    <definedName name="saltoF">IF(ISERROR(MATCH(ROW(),sph)),1,1+MATCH(ROW(),sph))</definedName>
    <definedName name="SAN_ANDRÉS">#REF!</definedName>
    <definedName name="SANTANDER">#REF!</definedName>
    <definedName name="SAPBEXhrIndnt" hidden="1">1</definedName>
    <definedName name="SAPBEXrevision" hidden="1">1</definedName>
    <definedName name="SAPBEXsysID" hidden="1">"BWP"</definedName>
    <definedName name="SAPBEXwbID" hidden="1">"44IZL6C86M7EN67Z2TRYE7TL6"</definedName>
    <definedName name="scen_result" hidden="1">#VALUE!</definedName>
    <definedName name="Sched_Pay" localSheetId="15">#REF!</definedName>
    <definedName name="Sched_Pay" localSheetId="23">#REF!</definedName>
    <definedName name="Sched_Pay">#REF!</definedName>
    <definedName name="Scheduled_Extra_Payments" localSheetId="15">#REF!</definedName>
    <definedName name="Scheduled_Extra_Payments" localSheetId="23">#REF!</definedName>
    <definedName name="Scheduled_Extra_Payments">#REF!</definedName>
    <definedName name="Scheduled_Interest_Rate" localSheetId="15">#REF!</definedName>
    <definedName name="Scheduled_Interest_Rate" localSheetId="23">#REF!</definedName>
    <definedName name="Scheduled_Interest_Rate">#REF!</definedName>
    <definedName name="Scheduled_Monthly_Payment" localSheetId="15">#REF!</definedName>
    <definedName name="Scheduled_Monthly_Payment" localSheetId="23">#REF!</definedName>
    <definedName name="Scheduled_Monthly_Payment">#REF!</definedName>
    <definedName name="sco">#REF!</definedName>
    <definedName name="Sd" localSheetId="4">#REF!</definedName>
    <definedName name="Sd" localSheetId="3">#REF!</definedName>
    <definedName name="sd" hidden="1">{TRUE,TRUE,-0.8,-17,618,378,FALSE,FALSE,TRUE,TRUE,0,33,#N/A,89,#N/A,14.5641025641026,175.058823529412,1,FALSE,FALSE,3,TRUE,1,FALSE,75,"Swvu.oil.","ACwvu.oil.",#N/A,FALSE,FALSE,0.196850393700787,0.196850393700787,0.196850393700787,0.196850393700787,2,"","",TRUE,TRUE,FALSE,FALSE,1,#N/A,1,1,"=R1C1:R248C39",FALSE,"Rwvu.oil.","Cwvu.oil.",FALSE,FALSE,FALSE,1,600,600,FALSE,FALSE,TRUE,TRUE,TRUE}</definedName>
    <definedName name="SDDSAFF" localSheetId="19" hidden="1">{#N/A,#N/A,TRUE,"1842CWN0"}</definedName>
    <definedName name="SDDSAFF" localSheetId="22" hidden="1">{#N/A,#N/A,TRUE,"1842CWN0"}</definedName>
    <definedName name="SDDSAFF" localSheetId="16" hidden="1">{#N/A,#N/A,TRUE,"1842CWN0"}</definedName>
    <definedName name="SDDSAFF" localSheetId="23" hidden="1">{#N/A,#N/A,TRUE,"1842CWN0"}</definedName>
    <definedName name="SDDSAFF" hidden="1">{#N/A,#N/A,TRUE,"1842CWN0"}</definedName>
    <definedName name="sdfadfd" hidden="1">9</definedName>
    <definedName name="SDFD" hidden="1">#REF!</definedName>
    <definedName name="SDFDG" localSheetId="19" hidden="1">{#N/A,#N/A,TRUE,"1842CWN0"}</definedName>
    <definedName name="SDFDG" localSheetId="22" hidden="1">{#N/A,#N/A,TRUE,"1842CWN0"}</definedName>
    <definedName name="SDFDG" localSheetId="16" hidden="1">{#N/A,#N/A,TRUE,"1842CWN0"}</definedName>
    <definedName name="SDFDG" localSheetId="23" hidden="1">{#N/A,#N/A,TRUE,"1842CWN0"}</definedName>
    <definedName name="SDFDG" hidden="1">{#N/A,#N/A,TRUE,"1842CWN0"}</definedName>
    <definedName name="sdfsdgg" localSheetId="19" hidden="1">{#N/A,#N/A,TRUE,"INGENIERIA";#N/A,#N/A,TRUE,"COMPRAS";#N/A,#N/A,TRUE,"DIRECCION";#N/A,#N/A,TRUE,"RESUMEN"}</definedName>
    <definedName name="sdfsdgg" localSheetId="22" hidden="1">{#N/A,#N/A,TRUE,"INGENIERIA";#N/A,#N/A,TRUE,"COMPRAS";#N/A,#N/A,TRUE,"DIRECCION";#N/A,#N/A,TRUE,"RESUMEN"}</definedName>
    <definedName name="sdfsdgg" localSheetId="16" hidden="1">{#N/A,#N/A,TRUE,"INGENIERIA";#N/A,#N/A,TRUE,"COMPRAS";#N/A,#N/A,TRUE,"DIRECCION";#N/A,#N/A,TRUE,"RESUMEN"}</definedName>
    <definedName name="sdfsdgg" localSheetId="23" hidden="1">{#N/A,#N/A,TRUE,"INGENIERIA";#N/A,#N/A,TRUE,"COMPRAS";#N/A,#N/A,TRUE,"DIRECCION";#N/A,#N/A,TRUE,"RESUMEN"}</definedName>
    <definedName name="sdfsdgg" hidden="1">{#N/A,#N/A,TRUE,"INGENIERIA";#N/A,#N/A,TRUE,"COMPRAS";#N/A,#N/A,TRUE,"DIRECCION";#N/A,#N/A,TRUE,"RESUMEN"}</definedName>
    <definedName name="sdr">#REF!</definedName>
    <definedName name="sdsdfsdff" localSheetId="19" hidden="1">{#N/A,#N/A,TRUE,"1842CWN0"}</definedName>
    <definedName name="sdsdfsdff" localSheetId="22" hidden="1">{#N/A,#N/A,TRUE,"1842CWN0"}</definedName>
    <definedName name="sdsdfsdff" localSheetId="16" hidden="1">{#N/A,#N/A,TRUE,"1842CWN0"}</definedName>
    <definedName name="sdsdfsdff" localSheetId="23" hidden="1">{#N/A,#N/A,TRUE,"1842CWN0"}</definedName>
    <definedName name="sdsdfsdff" hidden="1">{#N/A,#N/A,TRUE,"1842CWN0"}</definedName>
    <definedName name="SEGUNDA">#REF!</definedName>
    <definedName name="Sel_cmpnt_mfr_id_001">#REF!</definedName>
    <definedName name="Sel_cmpnt_mod_id_001">#REF!</definedName>
    <definedName name="Sel_fm_diff_press_tr_uid_001">#REF!</definedName>
    <definedName name="Sel_fm_orif_mat_id_001">#REF!</definedName>
    <definedName name="Sel_fm_sub_meter_type_001">#REF!</definedName>
    <definedName name="Sel_pd_dens_at_bas_uid_001">#REF!</definedName>
    <definedName name="Sel_pd_dens_uid_001">#REF!</definedName>
    <definedName name="Sel_pd_press_base_uid_001">#REF!</definedName>
    <definedName name="Sel_pd_temp_base_uid_001">#REF!</definedName>
    <definedName name="Sel_pd_temp_uid_001">#REF!</definedName>
    <definedName name="Sel_pd_visc_uid_001">#REF!</definedName>
    <definedName name="Sel_spec_udf_c01_001">#REF!</definedName>
    <definedName name="SELECCIÓN">#REF!</definedName>
    <definedName name="SELECCIÓN1">#REF!</definedName>
    <definedName name="selectipo">#REF!</definedName>
    <definedName name="sencount" hidden="1">1</definedName>
    <definedName name="SEPARACION_CONDUCTORES" localSheetId="5">Listas!$R$1:$R$3</definedName>
    <definedName name="SEPARACION_CONDUCTORES" localSheetId="10">Listas!$R$1:$R$3</definedName>
    <definedName name="SEPARACION_CONDUCTORES" localSheetId="12">Listas!$R$1:$R$3</definedName>
    <definedName name="sfwgtsfs" hidden="1">{#N/A,#N/A,FALSE,"SMT1";#N/A,#N/A,FALSE,"SMT2";#N/A,#N/A,FALSE,"Summary";#N/A,#N/A,FALSE,"Graphs";#N/A,#N/A,FALSE,"4 Panel"}</definedName>
    <definedName name="SGOT" hidden="1">{"EVA",#N/A,FALSE,"SMT2";#N/A,#N/A,FALSE,"Summary";#N/A,#N/A,FALSE,"Graphs";#N/A,#N/A,FALSE,"4 Panel"}</definedName>
    <definedName name="SHARED_FORMULA_25">(3/8-1/16)*2.54</definedName>
    <definedName name="SINDICALES">#REF!</definedName>
    <definedName name="SINDICALES1">#REF!</definedName>
    <definedName name="site_id_001">#REF!</definedName>
    <definedName name="Sivalidar1">#REF!</definedName>
    <definedName name="Skid">#REF!</definedName>
    <definedName name="Smlv">#REF!</definedName>
    <definedName name="smlv01">#REF!</definedName>
    <definedName name="smlv2001">#REF!</definedName>
    <definedName name="SN">#REF!</definedName>
    <definedName name="soc">#REF!</definedName>
    <definedName name="sod">#REF!</definedName>
    <definedName name="SOL">#REF!</definedName>
    <definedName name="SOLD._4_">#REF!</definedName>
    <definedName name="SOLD._6_">#REF!</definedName>
    <definedName name="SOLD._8_">#REF!</definedName>
    <definedName name="solver_num" hidden="1">0</definedName>
    <definedName name="solver_typ" hidden="1">1</definedName>
    <definedName name="solver_val" hidden="1">0</definedName>
    <definedName name="sort" localSheetId="22" hidden="1">#REF!</definedName>
    <definedName name="sort" hidden="1">#REF!</definedName>
    <definedName name="SORT1" hidden="1">#REF!</definedName>
    <definedName name="SORTAREA">#REF!</definedName>
    <definedName name="spec">#REF!</definedName>
    <definedName name="spec_cmpnt_func_001">#REF!</definedName>
    <definedName name="spec_cmpnt_mounting_001">#REF!</definedName>
    <definedName name="spec_cmpnt_po_item_no_001">#REF!</definedName>
    <definedName name="spec_cmpnt_po_no_001">#REF!</definedName>
    <definedName name="spec_cmpnt_power_supply_001">#REF!</definedName>
    <definedName name="spec_cmpnt_price_001">#REF!</definedName>
    <definedName name="spec_cmpnt_sn_001">#REF!</definedName>
    <definedName name="spec_cmpnt_type_001">#REF!</definedName>
    <definedName name="spec_enclosure_class_001">#REF!</definedName>
    <definedName name="spec_id_001">#REF!</definedName>
    <definedName name="spec_note">#REF!</definedName>
    <definedName name="spec_note_001">#REF!</definedName>
    <definedName name="spec_sheet_of">#REF!</definedName>
    <definedName name="spec_sheet_of_001">#REF!</definedName>
    <definedName name="spec_sheets">#REF!</definedName>
    <definedName name="spec_sheets_001">#REF!</definedName>
    <definedName name="spec_type_flg_001">#REF!</definedName>
    <definedName name="spec_udf_c01_001">#REF!</definedName>
    <definedName name="spec_udf_c02">#REF!</definedName>
    <definedName name="spec_udf_c02_001">#REF!</definedName>
    <definedName name="spec_udf_c03">#REF!</definedName>
    <definedName name="spec_udf_c03_001">#REF!</definedName>
    <definedName name="spec_udf_c04">#REF!</definedName>
    <definedName name="spec_udf_c04_001">#REF!</definedName>
    <definedName name="spec_udf_c05">#REF!</definedName>
    <definedName name="spec_udf_c05_001">#REF!</definedName>
    <definedName name="spec_udf_c06">#REF!</definedName>
    <definedName name="spec_udf_c06_001">#REF!</definedName>
    <definedName name="spec_udf_c07">#REF!</definedName>
    <definedName name="spec_udf_c07_001">#REF!</definedName>
    <definedName name="spec_udf_c08">#REF!</definedName>
    <definedName name="spec_udf_c08_001">#REF!</definedName>
    <definedName name="spec_udf_c09">#REF!</definedName>
    <definedName name="spec_udf_c09_001">#REF!</definedName>
    <definedName name="spec_udf_c10">#REF!</definedName>
    <definedName name="spec_udf_c10_001">#REF!</definedName>
    <definedName name="spec_udf_c100_001">#REF!</definedName>
    <definedName name="spec_udf_c11">#REF!</definedName>
    <definedName name="spec_udf_c11_001">#REF!</definedName>
    <definedName name="spec_udf_c12">#REF!</definedName>
    <definedName name="spec_udf_c12_001">#REF!</definedName>
    <definedName name="spec_udf_c13_001">#REF!</definedName>
    <definedName name="spec_udf_c14">#REF!</definedName>
    <definedName name="spec_udf_c14_001">#REF!</definedName>
    <definedName name="spec_udf_c15">#REF!</definedName>
    <definedName name="spec_udf_c15_001">#REF!</definedName>
    <definedName name="spec_udf_c16">#REF!</definedName>
    <definedName name="spec_udf_c16_001">#REF!</definedName>
    <definedName name="spec_udf_c17">#REF!</definedName>
    <definedName name="spec_udf_c17_001">#REF!</definedName>
    <definedName name="spec_udf_c18">#REF!</definedName>
    <definedName name="spec_udf_c18_001">#REF!</definedName>
    <definedName name="spec_udf_c19">#REF!</definedName>
    <definedName name="spec_udf_c19_001">#REF!</definedName>
    <definedName name="spec_udf_c20">#REF!</definedName>
    <definedName name="spec_udf_c20_001">#REF!</definedName>
    <definedName name="spec_udf_c21">#REF!</definedName>
    <definedName name="spec_udf_c21_001">#REF!</definedName>
    <definedName name="spec_udf_c22">#REF!</definedName>
    <definedName name="spec_udf_c22_001">#REF!</definedName>
    <definedName name="spec_udf_c23">#REF!</definedName>
    <definedName name="spec_udf_c23_001">#REF!</definedName>
    <definedName name="spec_udf_c24_001">#REF!</definedName>
    <definedName name="spec_udf_c25_001">#REF!</definedName>
    <definedName name="spec_udf_c26_001">#REF!</definedName>
    <definedName name="spec_udf_c27_001">#REF!</definedName>
    <definedName name="spec_udf_c28_001">#REF!</definedName>
    <definedName name="spec_udf_c29_001">#REF!</definedName>
    <definedName name="spec_udf_c30_001">#REF!</definedName>
    <definedName name="spec_udf_c31_001">#REF!</definedName>
    <definedName name="spec_udf_c32_001">#REF!</definedName>
    <definedName name="spec_udf_c33_001">#REF!</definedName>
    <definedName name="spec_udf_c34_001">#REF!</definedName>
    <definedName name="spec_udf_c35_001">#REF!</definedName>
    <definedName name="spec_udf_c36_001">#REF!</definedName>
    <definedName name="spec_udf_c37_001">#REF!</definedName>
    <definedName name="spec_udf_c38_001">#REF!</definedName>
    <definedName name="spec_udf_c39_001">#REF!</definedName>
    <definedName name="spec_udf_c40_001">#REF!</definedName>
    <definedName name="spec_udf_c41_001">#REF!</definedName>
    <definedName name="spec_udf_c42_001">#REF!</definedName>
    <definedName name="spec_udf_c43_001">#REF!</definedName>
    <definedName name="spec_udf_c44_001">#REF!</definedName>
    <definedName name="spec_udf_c45_001">#REF!</definedName>
    <definedName name="spec_udf_c46_001">#REF!</definedName>
    <definedName name="spec_udf_c47_001">#REF!</definedName>
    <definedName name="spec_udf_c48_001">#REF!</definedName>
    <definedName name="spec_udf_c49_001">#REF!</definedName>
    <definedName name="spec_udf_c50_001">#REF!</definedName>
    <definedName name="spec_udf_c51_001">#REF!</definedName>
    <definedName name="spec_udf_c52_001">#REF!</definedName>
    <definedName name="spec_udf_c53_001">#REF!</definedName>
    <definedName name="spec_udf_c54_001">#REF!</definedName>
    <definedName name="spec_udf_c55_001">#REF!</definedName>
    <definedName name="spec_udf_c56_001">#REF!</definedName>
    <definedName name="spec_udf_c57_001">#REF!</definedName>
    <definedName name="spec_udf_c58_001">#REF!</definedName>
    <definedName name="spec_udf_c59_001">#REF!</definedName>
    <definedName name="spec_udf_c60_001">#REF!</definedName>
    <definedName name="spec_udf_c61_001">#REF!</definedName>
    <definedName name="spec_udf_c62_001">#REF!</definedName>
    <definedName name="spec_udf_c63_001">#REF!</definedName>
    <definedName name="spec_udf_c64_001">#REF!</definedName>
    <definedName name="spec_udf_c65_001">#REF!</definedName>
    <definedName name="spec_udf_c66_001">#REF!</definedName>
    <definedName name="spec_udf_c67_001">#REF!</definedName>
    <definedName name="spec_udf_c68_001">#REF!</definedName>
    <definedName name="spec_udf_c69_001">#REF!</definedName>
    <definedName name="spec_udf_c70_001">#REF!</definedName>
    <definedName name="spec_udf_c71_001">#REF!</definedName>
    <definedName name="spec_udf_c72_001">#REF!</definedName>
    <definedName name="spec_udf_c73_001">#REF!</definedName>
    <definedName name="spec_udf_c74_001">#REF!</definedName>
    <definedName name="spec_udf_c75_001">#REF!</definedName>
    <definedName name="spec_udf_c76_001">#REF!</definedName>
    <definedName name="spec_udf_c77_001">#REF!</definedName>
    <definedName name="spec_udf_c78_001">#REF!</definedName>
    <definedName name="spec_udf_c79_001">#REF!</definedName>
    <definedName name="spec_udf_c80_001">#REF!</definedName>
    <definedName name="spec_udf_c81_001">#REF!</definedName>
    <definedName name="spec_udf_c82_001">#REF!</definedName>
    <definedName name="spec_udf_c83_001">#REF!</definedName>
    <definedName name="spec_udf_c84_001">#REF!</definedName>
    <definedName name="spec_udf_c85_001">#REF!</definedName>
    <definedName name="spec_udf_c86_001">#REF!</definedName>
    <definedName name="spec_udf_c87_001">#REF!</definedName>
    <definedName name="spec_udf_c88_001">#REF!</definedName>
    <definedName name="spec_udf_c89_001">#REF!</definedName>
    <definedName name="spec_udf_c90_001">#REF!</definedName>
    <definedName name="spec_udf_c91_001">#REF!</definedName>
    <definedName name="spec_udf_c92_001">#REF!</definedName>
    <definedName name="spec_udf_c93_001">#REF!</definedName>
    <definedName name="spec_udf_c94_001">#REF!</definedName>
    <definedName name="spec_udf_c95_001">#REF!</definedName>
    <definedName name="spec_udf_c96_001">#REF!</definedName>
    <definedName name="spec_udf_c97_001">#REF!</definedName>
    <definedName name="spec_udf_c98_001">#REF!</definedName>
    <definedName name="spec_udf_c99_001">#REF!</definedName>
    <definedName name="SpecialPrice" hidden="1">#REF!</definedName>
    <definedName name="ss" hidden="1">{"krl1",#N/A,FALSE,"kr";"krl2",#N/A,FALSE,"kr";"compara",#N/A,FALSE,"kr";"desconp1",#N/A,FALSE,"kr";"desconp12",#N/A,FALSE,"kr";"krnp1",#N/A,FALSE,"kr";"krnp2",#N/A,FALSE,"kr";"krp12avg",#N/A,FALSE,"kr";"krp1avg",#N/A,FALSE,"kr"}</definedName>
    <definedName name="sss" hidden="1">{"'A21005'!$A$3:$M$5"}</definedName>
    <definedName name="St">#REF!</definedName>
    <definedName name="st_LB_fm_bleed_hole_diam_uid_001">#REF!</definedName>
    <definedName name="st_LB_fm_meter_type_001">#REF!</definedName>
    <definedName name="st_LB_fm_orif_diam_uid_001">#REF!</definedName>
    <definedName name="st_LB_pd_fluid_phase_001">#REF!</definedName>
    <definedName name="starting_current_001">#REF!</definedName>
    <definedName name="Stock">#REF!</definedName>
    <definedName name="strip_id_001">#REF!</definedName>
    <definedName name="SUBESTACIO" localSheetId="15">#REF!</definedName>
    <definedName name="SUBESTACIO" localSheetId="23">#REF!</definedName>
    <definedName name="SUBESTACIO" localSheetId="0">#REF!</definedName>
    <definedName name="SUBESTACIO">[1]Transformador!#REF!</definedName>
    <definedName name="SUBSUELO">#REF!</definedName>
    <definedName name="Subtotal">#REF!</definedName>
    <definedName name="SUCRE">#REF!</definedName>
    <definedName name="SUELDO">#REF!</definedName>
    <definedName name="SULA_">#REF!</definedName>
    <definedName name="SULB_">#REF!</definedName>
    <definedName name="SUMINISTRO">#REF!</definedName>
    <definedName name="sun">#REF!</definedName>
    <definedName name="SUP_VEX">#REF!</definedName>
    <definedName name="SUP_VPR">#REF!</definedName>
    <definedName name="SUP_VPR_GEC">#REF!</definedName>
    <definedName name="SUP_VPR_GMM">#REF!</definedName>
    <definedName name="SUP_VPR_GRC">#REF!</definedName>
    <definedName name="SUP_VPR_GRM">#REF!</definedName>
    <definedName name="SUP_VPR_GRN">#REF!</definedName>
    <definedName name="SUP_VPR_GRS">#REF!</definedName>
    <definedName name="SUP_VPR_GTP">#REF!</definedName>
    <definedName name="SUP_VPR_NA">#REF!</definedName>
    <definedName name="SUPERFICIE">#REF!</definedName>
    <definedName name="T">#REF!</definedName>
    <definedName name="TA_AJUS2">#REF!</definedName>
    <definedName name="tabla1">#REF!</definedName>
    <definedName name="TABLA10">#REF!</definedName>
    <definedName name="TABLA13">#REF!</definedName>
    <definedName name="TABLA13B">#REF!</definedName>
    <definedName name="TABLA1CONT">#REF!</definedName>
    <definedName name="TABLA6">#REF!</definedName>
    <definedName name="TABLA7">#REF!</definedName>
    <definedName name="TABLA7A">#REF!</definedName>
    <definedName name="TABLA7B">#REF!</definedName>
    <definedName name="TABLA8">#REF!</definedName>
    <definedName name="TABLA8A">#REF!</definedName>
    <definedName name="TAPA_BANDEJA" localSheetId="12">Listas!$Q$1:$Q$2</definedName>
    <definedName name="TAPA_BANDEJA" localSheetId="17">Listas!$Q$1:$Q$2</definedName>
    <definedName name="TAPA_BANDEJA" localSheetId="15">#REF!</definedName>
    <definedName name="TAPA_BANDEJA" localSheetId="23">#REF!</definedName>
    <definedName name="TAPA_BANDEJA" localSheetId="0">#REF!</definedName>
    <definedName name="TAPA_BANDEJA">Listas!$Q$1:$Q$2</definedName>
    <definedName name="TARIFA">#REF!</definedName>
    <definedName name="TarifaPension">#REF!</definedName>
    <definedName name="TarifaSalud">#REF!</definedName>
    <definedName name="TARMCIBCAR_">#REF!</definedName>
    <definedName name="TAROMAT">#REF!</definedName>
    <definedName name="tasa">#REF!</definedName>
    <definedName name="TASA_DE_CAMBIO">#REF!</definedName>
    <definedName name="TASOC">#REF!</definedName>
    <definedName name="Tax">#REF!</definedName>
    <definedName name="TB_EVENTOS_OTS_ANUAL">#REF!</definedName>
    <definedName name="tb_h" hidden="1">{"krl1",#N/A,FALSE,"kr";"krl2",#N/A,FALSE,"kr";"compara",#N/A,FALSE,"kr";"desconp1",#N/A,FALSE,"kr";"desconp12",#N/A,FALSE,"kr";"krnp1",#N/A,FALSE,"kr";"krnp2",#N/A,FALSE,"kr";"krp12avg",#N/A,FALSE,"kr";"krp1avg",#N/A,FALSE,"kr"}</definedName>
    <definedName name="TBASES">#REF!</definedName>
    <definedName name="tbl_ProdInfo" hidden="1">#REF!</definedName>
    <definedName name="tc">#REF!</definedName>
    <definedName name="tc_field_equipment_id_001">#REF!</definedName>
    <definedName name="tc_fire_area_001">#REF!</definedName>
    <definedName name="tc_line_number_id_001">#REF!</definedName>
    <definedName name="tc_location_layout_001">#REF!</definedName>
    <definedName name="tc_signal_id_001">#REF!</definedName>
    <definedName name="TCARGAS">#REF!</definedName>
    <definedName name="TCONDIR">#REF!</definedName>
    <definedName name="TCRUDISP">#REF!</definedName>
    <definedName name="TCRUDIST">#REF!</definedName>
    <definedName name="TCRURESU">#REF!</definedName>
    <definedName name="telefono">#REF!</definedName>
    <definedName name="TEMA1">#REF!</definedName>
    <definedName name="TEMA10">#REF!</definedName>
    <definedName name="TEMA2">#REF!</definedName>
    <definedName name="TEMA3">#REF!</definedName>
    <definedName name="TEMA4">#REF!</definedName>
    <definedName name="TEMA5">#REF!</definedName>
    <definedName name="TEMA6">#REF!</definedName>
    <definedName name="TEMA7">#REF!</definedName>
    <definedName name="TEMA8">#REF!</definedName>
    <definedName name="TEMA9">#REF!</definedName>
    <definedName name="TEMAS_PACC">#REF!</definedName>
    <definedName name="temporales">#REF!</definedName>
    <definedName name="Tensiones_BT" localSheetId="0">#REF!</definedName>
    <definedName name="Tensiones_BT">[3]Listas!$C$4:$C$7</definedName>
    <definedName name="Tensiones_MT" localSheetId="0">#REF!</definedName>
    <definedName name="Tensiones_MT">[3]Listas!$C$2:$C$3</definedName>
    <definedName name="TERCERA">#REF!</definedName>
    <definedName name="TFLUVIAL">#REF!</definedName>
    <definedName name="TFUEL">#REF!</definedName>
    <definedName name="TGAS">#REF!</definedName>
    <definedName name="TGASOLEOS">#REF!</definedName>
    <definedName name="TGLP">#REF!</definedName>
    <definedName name="th">#REF!</definedName>
    <definedName name="TIPIFICACION">#REF!</definedName>
    <definedName name="TIPO">#REF!</definedName>
    <definedName name="TIPO_AISLAMIENTO" localSheetId="5">Listas!$J$2:$J$11</definedName>
    <definedName name="TIPO_AISLAMIENTO" localSheetId="10">Listas!$J$2:$J$11</definedName>
    <definedName name="TIPO_AISLAMIENTO" localSheetId="12">Listas!$J$2:$J$11</definedName>
    <definedName name="TIPO_CARGA" localSheetId="22">#REF!</definedName>
    <definedName name="TIPO_CARGA" localSheetId="23">#REF!</definedName>
    <definedName name="TIPO_CARGA">[9]LISTAS!$A$1:$A$9</definedName>
    <definedName name="TIPO_CARGAS" localSheetId="23">#REF!</definedName>
    <definedName name="TIPO_CARGAS" localSheetId="0">#REF!</definedName>
    <definedName name="TIPO_CARGAS">Listas!$A$51:$A$65</definedName>
    <definedName name="TIPO_DE_CARGA" localSheetId="12">Listas!$D$2:$D$3</definedName>
    <definedName name="TIPO_DE_CARGA" localSheetId="17">Listas!$D$2:$D$3</definedName>
    <definedName name="TIPO_DE_CARGA" localSheetId="15">#REF!</definedName>
    <definedName name="TIPO_DE_CARGA" localSheetId="23">#REF!</definedName>
    <definedName name="TIPO_DE_CARGA" localSheetId="0">#REF!</definedName>
    <definedName name="TIPO_DE_CARGA">Listas!$D$2:$D$3</definedName>
    <definedName name="TIPO_DE_CONDUIT" localSheetId="12">Listas!$G$3:$G$6</definedName>
    <definedName name="TIPO_DE_CONDUIT" localSheetId="17">Listas!$G$3:$G$6</definedName>
    <definedName name="TIPO_DE_CONDUIT">Listas!$G$3:$G$6</definedName>
    <definedName name="TIPO_GRUPO">#REF!</definedName>
    <definedName name="TIPO_MATERIAL_CABLE" localSheetId="12">Listas!$I$2:$I$3</definedName>
    <definedName name="TIPO_MATERIAL_CABLE" localSheetId="17">Listas!$I$2:$I$3</definedName>
    <definedName name="TIPO_MATERIAL_CABLE" localSheetId="15">#REF!</definedName>
    <definedName name="TIPO_MATERIAL_CABLE" localSheetId="23">#REF!</definedName>
    <definedName name="TIPO_MATERIAL_CABLE" localSheetId="0">#REF!</definedName>
    <definedName name="TIPO_MATERIAL_CABLE">Listas!$I$2:$I$3</definedName>
    <definedName name="TipoGC">#REF!</definedName>
    <definedName name="TipoNeces">#REF!</definedName>
    <definedName name="TipoPro">#REF!</definedName>
    <definedName name="Tipoproceso">#REF!</definedName>
    <definedName name="Tipos_Trafos" localSheetId="0">#REF!</definedName>
    <definedName name="Tipos_Trafos">[3]Listas!$A$2:$A$3</definedName>
    <definedName name="TITLE">#REF!</definedName>
    <definedName name="TITU">#REF!</definedName>
    <definedName name="TITULOS_A_IMPRIMIR">#REF!</definedName>
    <definedName name="_xlnm.Print_Titles" localSheetId="5">'CÁLCULO CONDUCTORES DE MT'!$1:$14</definedName>
    <definedName name="_xlnm.Print_Titles" localSheetId="16">'H1-CUADRO DE CARGAS'!$1:$6</definedName>
    <definedName name="_xlnm.Print_Titles" localSheetId="10">'H2-CONDUCTORES DE BT'!$1:$14</definedName>
    <definedName name="_xlnm.Print_Titles" localSheetId="11">'H3-PÉRDIDAS'!$1:$17</definedName>
    <definedName name="_xlnm.Print_Titles" localSheetId="12">'H4-CANALIZACIONES'!$1:$13</definedName>
    <definedName name="_xlnm.Print_Titles" localSheetId="17">NOTAS!$1:$5</definedName>
    <definedName name="_xlnm.Print_Titles" localSheetId="13">'PÉRDIDAS ECONO Al'!$1:$15</definedName>
    <definedName name="_xlnm.Print_Titles" localSheetId="14">'PÉRDIDAS ECONO Cu'!$1:$15</definedName>
    <definedName name="_xlnm.Print_Titles" localSheetId="0">TEORIA1!$1:$6</definedName>
    <definedName name="Títulos_a_imprimir_IM">#REF!</definedName>
    <definedName name="tjtrjytrt"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tjtrjytrt_1"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tjtrjytrt_2"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tk">#REF!</definedName>
    <definedName name="TKSLCI07">#REF!</definedName>
    <definedName name="TMEDIOS">#REF!</definedName>
    <definedName name="TMOGAS">#REF!</definedName>
    <definedName name="Todos">#REF!</definedName>
    <definedName name="TODOS_INDEFINIDOS_CON_DEP_NUEVAS">#REF!</definedName>
    <definedName name="TOLI_">#REF!</definedName>
    <definedName name="TOLIMA">#REF!</definedName>
    <definedName name="TOPGENER">#REF!</definedName>
    <definedName name="TOT">#REF!</definedName>
    <definedName name="TOTAL">#REF!</definedName>
    <definedName name="Total_Interest" localSheetId="15">#REF!</definedName>
    <definedName name="Total_Interest" localSheetId="23">#REF!</definedName>
    <definedName name="Total_Interest">#REF!</definedName>
    <definedName name="Total_Pay" localSheetId="15">#REF!</definedName>
    <definedName name="Total_Pay" localSheetId="23">#REF!</definedName>
    <definedName name="Total_Pay">#REF!</definedName>
    <definedName name="Total_Payment" localSheetId="19">Scheduled_Payment+Extra_Payment</definedName>
    <definedName name="Total_Payment" localSheetId="16">Scheduled_Payment+Extra_Payment</definedName>
    <definedName name="Total_Payment" localSheetId="13">Scheduled_Payment+Extra_Payment</definedName>
    <definedName name="Total_Payment" localSheetId="15">Scheduled_Payment+Extra_Payment</definedName>
    <definedName name="Total_Payment" localSheetId="23">Scheduled_Payment+Extra_Payment</definedName>
    <definedName name="Total_Payment" localSheetId="0">Scheduled_Payment+Extra_Payment</definedName>
    <definedName name="Total_Payment">Scheduled_Payment+Extra_Payment</definedName>
    <definedName name="TotalCesantias">#REF!</definedName>
    <definedName name="TotalVacaciones">#REF!</definedName>
    <definedName name="TotAuxAlim">#REF!</definedName>
    <definedName name="TotAuxAlimentacion">#REF!</definedName>
    <definedName name="TotAuxCom">#REF!</definedName>
    <definedName name="TotAuxComi">#REF!</definedName>
    <definedName name="TotAuxDotacion">#REF!</definedName>
    <definedName name="TotAuxHab">#REF!</definedName>
    <definedName name="TotAuxTransporte">#REF!</definedName>
    <definedName name="TotBasico">#REF!</definedName>
    <definedName name="TotCom">#REF!</definedName>
    <definedName name="TotComision">#REF!</definedName>
    <definedName name="TotExtras">#REF!</definedName>
    <definedName name="TotIntercesantias">#REF!</definedName>
    <definedName name="TotPrimaServicios">#REF!</definedName>
    <definedName name="TotPrimaServicos">#REF!</definedName>
    <definedName name="TotPrimaVacaciones">#REF!</definedName>
    <definedName name="TotPrimConv">#REF!</definedName>
    <definedName name="TotPrimConvencional">#REF!</definedName>
    <definedName name="TotPrimVac">#REF!</definedName>
    <definedName name="TotVac">#REF!</definedName>
    <definedName name="TPRECIOS">#REF!</definedName>
    <definedName name="TR1AADDV">#REF!</definedName>
    <definedName name="TR1ALC">#REF!</definedName>
    <definedName name="TR1BEZ">#REF!</definedName>
    <definedName name="TR1CAER">#REF!</definedName>
    <definedName name="TR1CCS">#REF!</definedName>
    <definedName name="TR1CCT1">#REF!</definedName>
    <definedName name="TR1CCT2">#REF!</definedName>
    <definedName name="TR1CVS">#REF!</definedName>
    <definedName name="TR1DDVC">#REF!</definedName>
    <definedName name="TR1DE">#REF!</definedName>
    <definedName name="TR1DPP">#REF!</definedName>
    <definedName name="TR1EMP">#REF!</definedName>
    <definedName name="TR1GAV">#REF!</definedName>
    <definedName name="TR1LDT">#REF!</definedName>
    <definedName name="TR1PPCVM">#REF!</definedName>
    <definedName name="TR1TL">#REF!</definedName>
    <definedName name="TR1ZC">#REF!</definedName>
    <definedName name="TR1ZCPP">#REF!</definedName>
    <definedName name="TR1ZYCT">#REF!</definedName>
    <definedName name="TR2AADDV">#REF!</definedName>
    <definedName name="TR2ADDV">#REF!</definedName>
    <definedName name="TR2ALC">#REF!</definedName>
    <definedName name="TR2BEZ">#REF!</definedName>
    <definedName name="TR2CCP">#REF!</definedName>
    <definedName name="TR2CCS">#REF!</definedName>
    <definedName name="TR2CCT1">#REF!</definedName>
    <definedName name="TR2CCT2">#REF!</definedName>
    <definedName name="TR2CVP">#REF!</definedName>
    <definedName name="TR2CVS">#REF!</definedName>
    <definedName name="TR2DDVC">#REF!</definedName>
    <definedName name="TR2DE">#REF!</definedName>
    <definedName name="TR2DPP">#REF!</definedName>
    <definedName name="TR2EMP">#REF!</definedName>
    <definedName name="TR2GAV">#REF!</definedName>
    <definedName name="TR2LDT">#REF!</definedName>
    <definedName name="TR2PPCVM">#REF!</definedName>
    <definedName name="TR2PZI">#REF!</definedName>
    <definedName name="TR2TL">#REF!</definedName>
    <definedName name="TR2ZC">#REF!</definedName>
    <definedName name="TR2ZCPP">#REF!</definedName>
    <definedName name="TR2ZYCT">#REF!</definedName>
    <definedName name="TR3AADDV">#REF!</definedName>
    <definedName name="TR3ALC">#REF!</definedName>
    <definedName name="TR3BEZ">#REF!</definedName>
    <definedName name="TR3CCS">#REF!</definedName>
    <definedName name="TR3CCT1">#REF!</definedName>
    <definedName name="TR3CCT2">#REF!</definedName>
    <definedName name="TR3CVS">#REF!</definedName>
    <definedName name="TR3DDVC">#REF!</definedName>
    <definedName name="TR3DE">#REF!</definedName>
    <definedName name="TR3DPP">#REF!</definedName>
    <definedName name="TR3EMP">#REF!</definedName>
    <definedName name="TR3GAV">#REF!</definedName>
    <definedName name="TR3LDT">#REF!</definedName>
    <definedName name="TR3PPCVM">#REF!</definedName>
    <definedName name="TR3PZI">#REF!</definedName>
    <definedName name="TR3PZISV">#REF!</definedName>
    <definedName name="TR3TL">#REF!</definedName>
    <definedName name="TR3ZC">#REF!</definedName>
    <definedName name="TR3ZCPP">#REF!</definedName>
    <definedName name="TR3ZYCT">#REF!</definedName>
    <definedName name="TraerDatosDePlc" localSheetId="4">#REF!</definedName>
    <definedName name="TraerDatosDePlc" localSheetId="19">'Demanda Trafo A'!TraerDatosDePlc</definedName>
    <definedName name="TraerDatosDePlc" localSheetId="22">factores!TraerDatosDePlc</definedName>
    <definedName name="TraerDatosDePlc" localSheetId="16">'H1-CUADRO DE CARGAS'!TraerDatosDePlc</definedName>
    <definedName name="TraerDatosDePlc" localSheetId="3">#REF!</definedName>
    <definedName name="TraerDatosDePlc" localSheetId="23">'Tablas Cables'!TraerDatosDePlc</definedName>
    <definedName name="TraerDatosDePlc">[0]!TraerDatosDePlc</definedName>
    <definedName name="Transporte">#REF!</definedName>
    <definedName name="TRM">#REF!</definedName>
    <definedName name="tstp">#REF!</definedName>
    <definedName name="TTRANSP">#REF!</definedName>
    <definedName name="tttt" hidden="1">{#N/A,#N/A,FALSE,"QsumREG";#N/A,#N/A,FALSE,"Reg";#N/A,#N/A,FALSE,"QsumPSL";#N/A,#N/A,FALSE,"PSL";#N/A,#N/A,FALSE,"fcstsum";#N/A,#N/A,FALSE,"cntsprt"}</definedName>
    <definedName name="typical_schematic_001">#REF!</definedName>
    <definedName name="udt_support_id1_001">#REF!</definedName>
    <definedName name="udt_support_id10_001">#REF!</definedName>
    <definedName name="udt_support_id11_001">#REF!</definedName>
    <definedName name="udt_support_id12_001">#REF!</definedName>
    <definedName name="udt_support_id13_001">#REF!</definedName>
    <definedName name="udt_support_id14_001">#REF!</definedName>
    <definedName name="udt_support_id15_001">#REF!</definedName>
    <definedName name="udt_support_id16_001">#REF!</definedName>
    <definedName name="udt_support_id2_001">#REF!</definedName>
    <definedName name="udt_support_id3_001">#REF!</definedName>
    <definedName name="udt_support_id4_001">#REF!</definedName>
    <definedName name="udt_support_id5_001">#REF!</definedName>
    <definedName name="udt_support_id6_001">#REF!</definedName>
    <definedName name="udt_support_id7_001">#REF!</definedName>
    <definedName name="udt_support_id8_001">#REF!</definedName>
    <definedName name="udt_support_id9_001">#REF!</definedName>
    <definedName name="UEE_">#REF!</definedName>
    <definedName name="UIC">#REF!</definedName>
    <definedName name="UNIDAD">#REF!</definedName>
    <definedName name="UNIT">#REF!</definedName>
    <definedName name="unit_id_001">#REF!</definedName>
    <definedName name="UNO">#REF!</definedName>
    <definedName name="uom_id_001">#REF!</definedName>
    <definedName name="user_name_001">#REF!</definedName>
    <definedName name="USxCOL">#REF!</definedName>
    <definedName name="v" hidden="1">{#N/A,#N/A,FALSE,"Ppto. Inv. por Proyectos";#N/A,#N/A,FALSE,"Ppto. Gastos por Asociación"}</definedName>
    <definedName name="VAcb8">#REF!</definedName>
    <definedName name="VAcom">#REF!</definedName>
    <definedName name="VALIDACIONES" hidden="1">{#N/A,#N/A,FALSE,"Costos Productos 6A";#N/A,#N/A,FALSE,"Costo Unitario Total H-94-12"}</definedName>
    <definedName name="VALLE_DEL_CAUCA">#REF!</definedName>
    <definedName name="VALOR">#REF!</definedName>
    <definedName name="ValorCto">#REF!</definedName>
    <definedName name="values">#N/A</definedName>
    <definedName name="Values_Entered" localSheetId="19">IF([0]!Loan_Amount*[0]!Interest_Rate*[0]!Loan_Years*[0]!Loan_Start&gt;0,1,0)</definedName>
    <definedName name="Values_Entered" localSheetId="16">IF([0]!Loan_Amount*[0]!Interest_Rate*[0]!Loan_Years*[0]!Loan_Start&gt;0,1,0)</definedName>
    <definedName name="Values_Entered" localSheetId="13">IF([0]!Loan_Amount*[0]!Interest_Rate*[0]!Loan_Years*[0]!Loan_Start&gt;0,1,0)</definedName>
    <definedName name="Values_Entered" localSheetId="15">IF(RESUMEN!Loan_Amount*RESUMEN!Interest_Rate*RESUMEN!Loan_Years*RESUMEN!Loan_Start&gt;0,1,0)</definedName>
    <definedName name="Values_Entered" localSheetId="23">IF('Tablas Cables'!Loan_Amount*'Tablas Cables'!Interest_Rate*'Tablas Cables'!Loan_Years*'Tablas Cables'!Loan_Start&gt;0,1,0)</definedName>
    <definedName name="Values_Entered" localSheetId="0">IF([0]!Loan_Amount*[0]!Interest_Rate*[0]!Loan_Years*[0]!Loan_Start&gt;0,1,0)</definedName>
    <definedName name="Values_Entered">IF([0]!Loan_Amount*[0]!Interest_Rate*[0]!Loan_Years*[0]!Loan_Start&gt;0,1,0)</definedName>
    <definedName name="VAodc">#REF!</definedName>
    <definedName name="Varillas">#REF!</definedName>
    <definedName name="VAUPÉS">#REF!</definedName>
    <definedName name="VAval">#REF!</definedName>
    <definedName name="vcvvc" localSheetId="19"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vcvvc" localSheetId="22"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vcvvc" localSheetId="16"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vcvvc" localSheetId="2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vcvvc"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VERSION">#REF!</definedName>
    <definedName name="VEX" localSheetId="4">#REF!</definedName>
    <definedName name="VEX" localSheetId="3">#REF!</definedName>
    <definedName name="VEX" hidden="1">{#N/A,#N/A,FALSE,"Costos Productos 6A";#N/A,#N/A,FALSE,"Costo Unitario Total H-94-12"}</definedName>
    <definedName name="VEX_ON">#REF!</definedName>
    <definedName name="VEX1_1">#REF!</definedName>
    <definedName name="VEX1_1_1">#REF!</definedName>
    <definedName name="VEX1_1_2">#REF!</definedName>
    <definedName name="VEX1_1_3">#REF!</definedName>
    <definedName name="VEX1_1_4">#REF!</definedName>
    <definedName name="VEX1_2">#REF!</definedName>
    <definedName name="VEX1_3">#REF!</definedName>
    <definedName name="VFA">#REF!</definedName>
    <definedName name="VFA1_1">#REF!</definedName>
    <definedName name="VFA1_1_1">#REF!</definedName>
    <definedName name="VFA1_1_2">#REF!</definedName>
    <definedName name="VFA1_1_3">#REF!</definedName>
    <definedName name="VFA1_1_4">#REF!</definedName>
    <definedName name="VFA1_1_5">#REF!</definedName>
    <definedName name="VFA1_1_6">#REF!</definedName>
    <definedName name="VFA1_2">#REF!</definedName>
    <definedName name="VFA1_3">#REF!</definedName>
    <definedName name="VFF">#REF!</definedName>
    <definedName name="VI" hidden="1">#REF!</definedName>
    <definedName name="VIA" hidden="1">#REF!</definedName>
    <definedName name="VICEP_DIRECC">#REF!</definedName>
    <definedName name="VICHADA">#REF!</definedName>
    <definedName name="VIGFUTURA">#REF!</definedName>
    <definedName name="VIRG_">#REF!</definedName>
    <definedName name="VIT">#REF!</definedName>
    <definedName name="VIT1_1">#REF!</definedName>
    <definedName name="VIT1_1_1">#REF!</definedName>
    <definedName name="VIT1_1_10">#REF!</definedName>
    <definedName name="VIT1_1_11">#REF!</definedName>
    <definedName name="VIT1_1_12">#REF!</definedName>
    <definedName name="VIT1_1_13">#REF!</definedName>
    <definedName name="VIT1_1_14">#REF!</definedName>
    <definedName name="VIT1_1_15">#REF!</definedName>
    <definedName name="VIT1_1_16">#REF!</definedName>
    <definedName name="VIt1_1_17">#REF!</definedName>
    <definedName name="VIT1_1_18">#REF!</definedName>
    <definedName name="VIt1_1_19">#REF!</definedName>
    <definedName name="VIT1_1_2">#REF!</definedName>
    <definedName name="VIT1_1_20">#REF!</definedName>
    <definedName name="VIT1_1_3">#REF!</definedName>
    <definedName name="VIT1_1_4">#REF!</definedName>
    <definedName name="VIT1_1_5">#REF!</definedName>
    <definedName name="VIT1_1_6">#REF!</definedName>
    <definedName name="VIT1_1_7">#REF!</definedName>
    <definedName name="VIT1_1_8">#REF!</definedName>
    <definedName name="VIT1_1_9">#REF!</definedName>
    <definedName name="VIT1_2">#REF!</definedName>
    <definedName name="VIT1_3">#REF!</definedName>
    <definedName name="VIT1_4">#REF!</definedName>
    <definedName name="VIT1_5">#REF!</definedName>
    <definedName name="VIT1_6">#REF!</definedName>
    <definedName name="VOLTAJE">Listas!$E$2:$E$5</definedName>
    <definedName name="VOLTAJE_BT" localSheetId="5">Listas!$E$2:$E$13</definedName>
    <definedName name="VOLTAJE_BT" localSheetId="10">Listas!$E$2:$E$13</definedName>
    <definedName name="VOLTAJE_BT" localSheetId="12">Listas!$E$2:$E$13</definedName>
    <definedName name="VOLTAJE_BT" localSheetId="14">#REF!</definedName>
    <definedName name="VOLTAJE_BT" localSheetId="15">#REF!</definedName>
    <definedName name="VPR">#REF!</definedName>
    <definedName name="VPR_COMBUS">#REF!</definedName>
    <definedName name="VPR_CRUDO">#REF!</definedName>
    <definedName name="VPR_GAS">#REF!</definedName>
    <definedName name="VPR_ON">#REF!</definedName>
    <definedName name="VPR1_1">#REF!</definedName>
    <definedName name="VPR1_1_1">#REF!</definedName>
    <definedName name="VPR1_1_10">#REF!</definedName>
    <definedName name="VPR1_1_11">#REF!</definedName>
    <definedName name="VPR1_1_12">#REF!</definedName>
    <definedName name="VPR1_1_13">#REF!</definedName>
    <definedName name="VPR1_1_14">#REF!</definedName>
    <definedName name="VPR1_1_15">#REF!</definedName>
    <definedName name="VPR1_1_16">#REF!</definedName>
    <definedName name="VPR1_1_17">#REF!</definedName>
    <definedName name="VPR1_1_18">#REF!</definedName>
    <definedName name="VPR1_1_19">#REF!</definedName>
    <definedName name="VPR1_1_2">#REF!</definedName>
    <definedName name="VPR1_1_20">#REF!</definedName>
    <definedName name="VPR1_1_21">#REF!</definedName>
    <definedName name="VPR1_1_22">#REF!</definedName>
    <definedName name="VPR1_1_23">#REF!</definedName>
    <definedName name="VPR1_1_24">#REF!</definedName>
    <definedName name="VPR1_1_25">#REF!</definedName>
    <definedName name="VPR1_1_26">#REF!</definedName>
    <definedName name="VPR1_1_27">#REF!</definedName>
    <definedName name="VPR1_1_28">#REF!</definedName>
    <definedName name="VPR1_1_29">#REF!</definedName>
    <definedName name="VPR1_1_3">#REF!</definedName>
    <definedName name="VPR1_1_30">#REF!</definedName>
    <definedName name="VPR1_1_31">#REF!</definedName>
    <definedName name="VPR1_1_32">#REF!</definedName>
    <definedName name="VPR1_1_4">#REF!</definedName>
    <definedName name="VPR1_1_5">#REF!</definedName>
    <definedName name="VPR1_1_6">#REF!</definedName>
    <definedName name="VPR1_1_7">#REF!</definedName>
    <definedName name="VPR1_1_8">#REF!</definedName>
    <definedName name="VPR1_1_9">#REF!</definedName>
    <definedName name="VPR1_2">#REF!</definedName>
    <definedName name="VPR1_3">#REF!</definedName>
    <definedName name="VPR1_4">#REF!</definedName>
    <definedName name="VPR1_5">#REF!</definedName>
    <definedName name="VPR1_6">#REF!</definedName>
    <definedName name="VR._DÓLAR">#REF!</definedName>
    <definedName name="VRP">#REF!</definedName>
    <definedName name="VRP_PETROQ">#REF!</definedName>
    <definedName name="VRP1_1">#REF!</definedName>
    <definedName name="VRP1_1_1">#REF!</definedName>
    <definedName name="VRP1_1_10">#REF!</definedName>
    <definedName name="VRP1_1_11">#REF!</definedName>
    <definedName name="VRP1_1_12">#REF!</definedName>
    <definedName name="VRP1_1_13">#REF!</definedName>
    <definedName name="VRP1_1_14">#REF!</definedName>
    <definedName name="VRP1_1_15">#REF!</definedName>
    <definedName name="VRP1_1_16">#REF!</definedName>
    <definedName name="VRP1_1_17">#REF!</definedName>
    <definedName name="VRP1_1_18">#REF!</definedName>
    <definedName name="VRP1_1_19">#REF!</definedName>
    <definedName name="VRP1_1_2">#REF!</definedName>
    <definedName name="VRP1_1_20">#REF!</definedName>
    <definedName name="VRP1_1_21">#REF!</definedName>
    <definedName name="VRP1_1_22">#REF!</definedName>
    <definedName name="VRP1_1_23">#REF!</definedName>
    <definedName name="VRP1_1_3">#REF!</definedName>
    <definedName name="VRP1_1_4">#REF!</definedName>
    <definedName name="VRP1_1_5">#REF!</definedName>
    <definedName name="VRP1_1_6">#REF!</definedName>
    <definedName name="VRP1_1_7">#REF!</definedName>
    <definedName name="VRP1_1_8">#REF!</definedName>
    <definedName name="VRP1_1_9">#REF!</definedName>
    <definedName name="VRP1_2">#REF!</definedName>
    <definedName name="VRP1_3">#REF!</definedName>
    <definedName name="VRP1_4">#REF!</definedName>
    <definedName name="vsdgfsd" hidden="1">{"EVA",#N/A,FALSE,"SMT2";#N/A,#N/A,FALSE,"Summary";#N/A,#N/A,FALSE,"Graphs";#N/A,#N/A,FALSE,"4 Panel"}</definedName>
    <definedName name="VSM">#REF!</definedName>
    <definedName name="VSM1_1">#REF!</definedName>
    <definedName name="VSM1_1_1">#REF!</definedName>
    <definedName name="VSM1_1_2">#REF!</definedName>
    <definedName name="VSM1_1_3">#REF!</definedName>
    <definedName name="VSM1_1_4">#REF!</definedName>
    <definedName name="VSM1_1_5">#REF!</definedName>
    <definedName name="VSM1_2">#REF!</definedName>
    <definedName name="VSM1_3">#REF!</definedName>
    <definedName name="VSM1_4">#REF!</definedName>
    <definedName name="VSM1_5">#REF!</definedName>
    <definedName name="vsp">#REF!</definedName>
    <definedName name="vsvsvsv">#REF!</definedName>
    <definedName name="Vvkmh">#REF!</definedName>
    <definedName name="Vvmph">#REF!</definedName>
    <definedName name="vvvvvv" localSheetId="4" hidden="1">{#N/A,#N/A,FALSE,"Costos Productos 6A";#N/A,#N/A,FALSE,"Costo Unitario Total H-94-12"}</definedName>
    <definedName name="vvvvvv" localSheetId="19" hidden="1">{#N/A,#N/A,FALSE,"Costos Productos 6A";#N/A,#N/A,FALSE,"Costo Unitario Total H-94-12"}</definedName>
    <definedName name="vvvvvv" localSheetId="16" hidden="1">{#N/A,#N/A,FALSE,"Costos Productos 6A";#N/A,#N/A,FALSE,"Costo Unitario Total H-94-12"}</definedName>
    <definedName name="vvvvvv" localSheetId="3" hidden="1">{#N/A,#N/A,FALSE,"Costos Productos 6A";#N/A,#N/A,FALSE,"Costo Unitario Total H-94-12"}</definedName>
    <definedName name="vvvvvv" localSheetId="15" hidden="1">{#N/A,#N/A,FALSE,"Costos Productos 6A";#N/A,#N/A,FALSE,"Costo Unitario Total H-94-12"}</definedName>
    <definedName name="vvvvvv" localSheetId="23" hidden="1">{#N/A,#N/A,FALSE,"Costos Productos 6A";#N/A,#N/A,FALSE,"Costo Unitario Total H-94-12"}</definedName>
    <definedName name="vvvvvv" localSheetId="0" hidden="1">{#N/A,#N/A,FALSE,"Costos Productos 6A";#N/A,#N/A,FALSE,"Costo Unitario Total H-94-12"}</definedName>
    <definedName name="vvvvvv" hidden="1">{#N/A,#N/A,FALSE,"Costos Productos 6A";#N/A,#N/A,FALSE,"Costo Unitario Total H-94-12"}</definedName>
    <definedName name="w" hidden="1">#REF!</definedName>
    <definedName name="wddw"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wddw_1"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wddw_2"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WER" hidden="1">{#N/A,#N/A,FALSE,"EACT"}</definedName>
    <definedName name="wire_group_id_001">#REF!</definedName>
    <definedName name="wrn.ANEXO1." localSheetId="4" hidden="1">{#N/A,#N/A,FALSE,"Costos Contables CIB A 12 1994";#N/A,#N/A,FALSE,"Cuadre Contab. y C. OP"}</definedName>
    <definedName name="wrn.ANEXO1." localSheetId="19" hidden="1">{#N/A,#N/A,FALSE,"Costos Contables CIB A 12 1994";#N/A,#N/A,FALSE,"Cuadre Contab. y C. OP"}</definedName>
    <definedName name="wrn.ANEXO1." localSheetId="16" hidden="1">{#N/A,#N/A,FALSE,"Costos Contables CIB A 12 1994";#N/A,#N/A,FALSE,"Cuadre Contab. y C. OP"}</definedName>
    <definedName name="wrn.ANEXO1." localSheetId="3" hidden="1">{#N/A,#N/A,FALSE,"Costos Contables CIB A 12 1994";#N/A,#N/A,FALSE,"Cuadre Contab. y C. OP"}</definedName>
    <definedName name="wrn.ANEXO1." localSheetId="15" hidden="1">{#N/A,#N/A,FALSE,"Costos Contables CIB A 12 1994";#N/A,#N/A,FALSE,"Cuadre Contab. y C. OP"}</definedName>
    <definedName name="wrn.ANEXO1." localSheetId="23" hidden="1">{#N/A,#N/A,FALSE,"Costos Contables CIB A 12 1994";#N/A,#N/A,FALSE,"Cuadre Contab. y C. OP"}</definedName>
    <definedName name="wrn.ANEXO1." localSheetId="0" hidden="1">{#N/A,#N/A,FALSE,"Costos Contables CIB A 12 1994";#N/A,#N/A,FALSE,"Cuadre Contab. y C. OP"}</definedName>
    <definedName name="wrn.ANEXO1." hidden="1">{#N/A,#N/A,FALSE,"Costos Contables CIB A 12 1994";#N/A,#N/A,FALSE,"Cuadre Contab. y C. OP"}</definedName>
    <definedName name="wrn.anexo5." localSheetId="4" hidden="1">{#N/A,#N/A,FALSE,"CIBHA05A";#N/A,#N/A,FALSE,"CIBHA05B"}</definedName>
    <definedName name="wrn.anexo5." localSheetId="19" hidden="1">{#N/A,#N/A,FALSE,"CIBHA05A";#N/A,#N/A,FALSE,"CIBHA05B"}</definedName>
    <definedName name="wrn.anexo5." localSheetId="16" hidden="1">{#N/A,#N/A,FALSE,"CIBHA05A";#N/A,#N/A,FALSE,"CIBHA05B"}</definedName>
    <definedName name="wrn.anexo5." localSheetId="3" hidden="1">{#N/A,#N/A,FALSE,"CIBHA05A";#N/A,#N/A,FALSE,"CIBHA05B"}</definedName>
    <definedName name="wrn.anexo5." localSheetId="15" hidden="1">{#N/A,#N/A,FALSE,"CIBHA05A";#N/A,#N/A,FALSE,"CIBHA05B"}</definedName>
    <definedName name="wrn.anexo5." localSheetId="23" hidden="1">{#N/A,#N/A,FALSE,"CIBHA05A";#N/A,#N/A,FALSE,"CIBHA05B"}</definedName>
    <definedName name="wrn.anexo5." localSheetId="0" hidden="1">{#N/A,#N/A,FALSE,"CIBHA05A";#N/A,#N/A,FALSE,"CIBHA05B"}</definedName>
    <definedName name="wrn.anexo5." hidden="1">{#N/A,#N/A,FALSE,"CIBHA05A";#N/A,#N/A,FALSE,"CIBHA05B"}</definedName>
    <definedName name="wrn.anexo6." localSheetId="4" hidden="1">{#N/A,#N/A,FALSE,"Costos Productos 6A";#N/A,#N/A,FALSE,"Costo Unitario Total H-94-12"}</definedName>
    <definedName name="wrn.anexo6." localSheetId="19" hidden="1">{#N/A,#N/A,FALSE,"Costos Productos 6A";#N/A,#N/A,FALSE,"Costo Unitario Total H-94-12"}</definedName>
    <definedName name="wrn.anexo6." localSheetId="16" hidden="1">{#N/A,#N/A,FALSE,"Costos Productos 6A";#N/A,#N/A,FALSE,"Costo Unitario Total H-94-12"}</definedName>
    <definedName name="wrn.anexo6." localSheetId="3" hidden="1">{#N/A,#N/A,FALSE,"Costos Productos 6A";#N/A,#N/A,FALSE,"Costo Unitario Total H-94-12"}</definedName>
    <definedName name="wrn.anexo6." localSheetId="15" hidden="1">{#N/A,#N/A,FALSE,"Costos Productos 6A";#N/A,#N/A,FALSE,"Costo Unitario Total H-94-12"}</definedName>
    <definedName name="wrn.anexo6." localSheetId="23" hidden="1">{#N/A,#N/A,FALSE,"Costos Productos 6A";#N/A,#N/A,FALSE,"Costo Unitario Total H-94-12"}</definedName>
    <definedName name="wrn.anexo6." localSheetId="0" hidden="1">{#N/A,#N/A,FALSE,"Costos Productos 6A";#N/A,#N/A,FALSE,"Costo Unitario Total H-94-12"}</definedName>
    <definedName name="wrn.anexo6." hidden="1">{#N/A,#N/A,FALSE,"Costos Productos 6A";#N/A,#N/A,FALSE,"Costo Unitario Total H-94-12"}</definedName>
    <definedName name="wrn.Argosy._.Ppto._.Exe." hidden="1">{#N/A,#N/A,FALSE,"CPR Santana"}</definedName>
    <definedName name="wrn.Badep._.All." hidden="1">{#N/A,#N/A,FALSE,"DMC schedule";#N/A,#N/A,FALSE,"DMC_THC Revenue";#N/A,#N/A,FALSE,"Personnel plan";#N/A,#N/A,FALSE,"Capex HW+SW";#N/A,#N/A,FALSE,"P&amp;L"}</definedName>
    <definedName name="wrn.Book." hidden="1">{"EVA",#N/A,FALSE,"SMT2";#N/A,#N/A,FALSE,"Summary";#N/A,#N/A,FALSE,"Graphs";#N/A,#N/A,FALSE,"4 Panel"}</definedName>
    <definedName name="wrn.CAR." localSheetId="4" hidden="1">{#N/A,#N/A,FALSE,"a1";#N/A,#N/A,FALSE,"a2";#N/A,#N/A,FALSE,"a3";#N/A,#N/A,FALSE,"a4a";#N/A,#N/A,FALSE,"a4B";#N/A,#N/A,FALSE,"a4C";#N/A,#N/A,FALSE,"a4D";#N/A,#N/A,FALSE,"A5a ";#N/A,#N/A,FALSE,"A5b";#N/A,#N/A,FALSE,"A6A";#N/A,#N/A,FALSE,"A6B";#N/A,#N/A,FALSE,"A6C";#N/A,#N/A,FALSE,"A6D";#N/A,#N/A,FALSE,"INV"}</definedName>
    <definedName name="wrn.CAR." localSheetId="19" hidden="1">{#N/A,#N/A,FALSE,"a1";#N/A,#N/A,FALSE,"a2";#N/A,#N/A,FALSE,"a3";#N/A,#N/A,FALSE,"a4a";#N/A,#N/A,FALSE,"a4B";#N/A,#N/A,FALSE,"a4C";#N/A,#N/A,FALSE,"a4D";#N/A,#N/A,FALSE,"A5a ";#N/A,#N/A,FALSE,"A5b";#N/A,#N/A,FALSE,"A6A";#N/A,#N/A,FALSE,"A6B";#N/A,#N/A,FALSE,"A6C";#N/A,#N/A,FALSE,"A6D";#N/A,#N/A,FALSE,"INV"}</definedName>
    <definedName name="wrn.CAR." localSheetId="16" hidden="1">{#N/A,#N/A,FALSE,"a1";#N/A,#N/A,FALSE,"a2";#N/A,#N/A,FALSE,"a3";#N/A,#N/A,FALSE,"a4a";#N/A,#N/A,FALSE,"a4B";#N/A,#N/A,FALSE,"a4C";#N/A,#N/A,FALSE,"a4D";#N/A,#N/A,FALSE,"A5a ";#N/A,#N/A,FALSE,"A5b";#N/A,#N/A,FALSE,"A6A";#N/A,#N/A,FALSE,"A6B";#N/A,#N/A,FALSE,"A6C";#N/A,#N/A,FALSE,"A6D";#N/A,#N/A,FALSE,"INV"}</definedName>
    <definedName name="wrn.CAR." localSheetId="3" hidden="1">{#N/A,#N/A,FALSE,"a1";#N/A,#N/A,FALSE,"a2";#N/A,#N/A,FALSE,"a3";#N/A,#N/A,FALSE,"a4a";#N/A,#N/A,FALSE,"a4B";#N/A,#N/A,FALSE,"a4C";#N/A,#N/A,FALSE,"a4D";#N/A,#N/A,FALSE,"A5a ";#N/A,#N/A,FALSE,"A5b";#N/A,#N/A,FALSE,"A6A";#N/A,#N/A,FALSE,"A6B";#N/A,#N/A,FALSE,"A6C";#N/A,#N/A,FALSE,"A6D";#N/A,#N/A,FALSE,"INV"}</definedName>
    <definedName name="wrn.CAR." localSheetId="15" hidden="1">{#N/A,#N/A,FALSE,"a1";#N/A,#N/A,FALSE,"a2";#N/A,#N/A,FALSE,"a3";#N/A,#N/A,FALSE,"a4a";#N/A,#N/A,FALSE,"a4B";#N/A,#N/A,FALSE,"a4C";#N/A,#N/A,FALSE,"a4D";#N/A,#N/A,FALSE,"A5a ";#N/A,#N/A,FALSE,"A5b";#N/A,#N/A,FALSE,"A6A";#N/A,#N/A,FALSE,"A6B";#N/A,#N/A,FALSE,"A6C";#N/A,#N/A,FALSE,"A6D";#N/A,#N/A,FALSE,"INV"}</definedName>
    <definedName name="wrn.CAR." localSheetId="23" hidden="1">{#N/A,#N/A,FALSE,"a1";#N/A,#N/A,FALSE,"a2";#N/A,#N/A,FALSE,"a3";#N/A,#N/A,FALSE,"a4a";#N/A,#N/A,FALSE,"a4B";#N/A,#N/A,FALSE,"a4C";#N/A,#N/A,FALSE,"a4D";#N/A,#N/A,FALSE,"A5a ";#N/A,#N/A,FALSE,"A5b";#N/A,#N/A,FALSE,"A6A";#N/A,#N/A,FALSE,"A6B";#N/A,#N/A,FALSE,"A6C";#N/A,#N/A,FALSE,"A6D";#N/A,#N/A,FALSE,"INV"}</definedName>
    <definedName name="wrn.CAR." localSheetId="0" hidden="1">{#N/A,#N/A,FALSE,"a1";#N/A,#N/A,FALSE,"a2";#N/A,#N/A,FALSE,"a3";#N/A,#N/A,FALSE,"a4a";#N/A,#N/A,FALSE,"a4B";#N/A,#N/A,FALSE,"a4C";#N/A,#N/A,FALSE,"a4D";#N/A,#N/A,FALSE,"A5a ";#N/A,#N/A,FALSE,"A5b";#N/A,#N/A,FALSE,"A6A";#N/A,#N/A,FALSE,"A6B";#N/A,#N/A,FALSE,"A6C";#N/A,#N/A,FALSE,"A6D";#N/A,#N/A,FALSE,"INV"}</definedName>
    <definedName name="wrn.CAR." hidden="1">{#N/A,#N/A,FALSE,"a1";#N/A,#N/A,FALSE,"a2";#N/A,#N/A,FALSE,"a3";#N/A,#N/A,FALSE,"a4a";#N/A,#N/A,FALSE,"a4B";#N/A,#N/A,FALSE,"a4C";#N/A,#N/A,FALSE,"a4D";#N/A,#N/A,FALSE,"A5a ";#N/A,#N/A,FALSE,"A5b";#N/A,#N/A,FALSE,"A6A";#N/A,#N/A,FALSE,"A6B";#N/A,#N/A,FALSE,"A6C";#N/A,#N/A,FALSE,"A6D";#N/A,#N/A,FALSE,"INV"}</definedName>
    <definedName name="wrn.CIB." hidden="1">{#N/A,#N/A,FALSE,"A1";#N/A,#N/A,FALSE,"A2";#N/A,#N/A,FALSE,"A3";#N/A,#N/A,FALSE,"A4";#N/A,#N/A,FALSE,"a4a";#N/A,#N/A,FALSE,"a4B";#N/A,#N/A,FALSE,"a4C";#N/A,#N/A,FALSE,"A5A";#N/A,#N/A,FALSE,"A5B";#N/A,#N/A,FALSE,"F1F2";#N/A,#N/A,FALSE,"MP";#N/A,#N/A,FALSE,"MP A PCTOS";#N/A,#N/A,FALSE,"A6A";#N/A,#N/A,FALSE,"A6C";#N/A,#N/A,FALSE,"REND";"CRUDOS",#N/A,FALSE,"INVENTARIO";"PRODUCTOS",#N/A,FALSE,"INVENTARIO"}</definedName>
    <definedName name="wrn.civil._.works." localSheetId="19" hidden="1">{#N/A,#N/A,TRUE,"1842CWN0"}</definedName>
    <definedName name="wrn.civil._.works." localSheetId="22" hidden="1">{#N/A,#N/A,TRUE,"1842CWN0"}</definedName>
    <definedName name="wrn.civil._.works." localSheetId="16" hidden="1">{#N/A,#N/A,TRUE,"1842CWN0"}</definedName>
    <definedName name="wrn.civil._.works." localSheetId="23" hidden="1">{#N/A,#N/A,TRUE,"1842CWN0"}</definedName>
    <definedName name="wrn.civil._.works." hidden="1">{#N/A,#N/A,TRUE,"1842CWN0"}</definedName>
    <definedName name="wrn.Competitor._.Activity." hidden="1">{"Services",#N/A,FALSE,"Activity"}</definedName>
    <definedName name="wrn.Complete." hidden="1">{#N/A,#N/A,FALSE,"SMT1";#N/A,#N/A,FALSE,"SMT2";#N/A,#N/A,FALSE,"Summary";#N/A,#N/A,FALSE,"Graphs";#N/A,#N/A,FALSE,"4 Panel"}</definedName>
    <definedName name="wrn.Complete._.Set." hidden="1">{#N/A,#N/A,FALSE,"Full";#N/A,#N/A,FALSE,"Half";#N/A,#N/A,FALSE,"Op Expenses";#N/A,#N/A,FALSE,"Cap Charge";#N/A,#N/A,FALSE,"Cost C";#N/A,#N/A,FALSE,"PP&amp;E";#N/A,#N/A,FALSE,"R&amp;D"}</definedName>
    <definedName name="wrn.Consolidado._.Ppto._.Exe." hidden="1">{#N/A,#N/A,FALSE,"Consolidado"}</definedName>
    <definedName name="wrn.EACT." hidden="1">{#N/A,#N/A,FALSE,"EACT"}</definedName>
    <definedName name="wrn.Ejecución._.de._.Ppto._.GOR._.2002." hidden="1">{#N/A,#N/A,FALSE,"Ppto. Inv. por Proyectos";#N/A,#N/A,FALSE,"Ppto. Gastos por Asociación";#N/A,#N/A,FALSE,"Cravo Norte";#N/A,#N/A,FALSE,"Upía";#N/A,#N/A,FALSE,"CPR Espinal";#N/A,#N/A,FALSE,"Magangué";#N/A,#N/A,FALSE,"Casanare";#N/A,#N/A,FALSE,"Estero";#N/A,#N/A,FALSE,"Garcero";#N/A,#N/A,FALSE,"Orocué";#N/A,#N/A,FALSE,"Corocora";#N/A,#N/A,FALSE,"CPR Santana";#N/A,#N/A,FALSE,"Consolidado"}</definedName>
    <definedName name="wrn.FINAN97." hidden="1">{"COSOPE98",#N/A,FALSE,"COSOPE98";"COSOPE97",#N/A,FALSE,"COSOPE97";"GASECP98",#N/A,FALSE,"GASECP98";"GAS10098",#N/A,FALSE,"GAS10098";"GASECP97",#N/A,FALSE,"GASECP97";"GAS10097",#N/A,FALSE,"GAS10097";"INVECP98",#N/A,FALSE,"INVECP98";"INV10098",#N/A,FALSE,"INV10098";"INVECP97",#N/A,FALSE,"INVECP97";"INV10097",#N/A,FALSE,"INV10097"}</definedName>
    <definedName name="wrn.FORMATOS." localSheetId="19"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ATOS." localSheetId="22"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ATOS." localSheetId="16"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ATOS." localSheetId="2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ATOS."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Gastos._.e._.Inversiones." hidden="1">{#N/A,#N/A,FALSE,"Ppto. Inv. por Proyectos";#N/A,#N/A,FALSE,"Ppto. Gastos por Asociación"}</definedName>
    <definedName name="wrn.GCR._.Rig._.Activity." hidden="1">{"Activity",#N/A,TRUE,"GCR";"Rigs 1998",#N/A,TRUE,"GCR";"Rigs 1999",#N/A,TRUE,"GCR"}</definedName>
    <definedName name="wrn.GERENCIA." localSheetId="19" hidden="1">{#N/A,#N/A,TRUE,"INGENIERIA";#N/A,#N/A,TRUE,"COMPRAS";#N/A,#N/A,TRUE,"DIRECCION";#N/A,#N/A,TRUE,"RESUMEN"}</definedName>
    <definedName name="wrn.GERENCIA." localSheetId="22" hidden="1">{#N/A,#N/A,TRUE,"INGENIERIA";#N/A,#N/A,TRUE,"COMPRAS";#N/A,#N/A,TRUE,"DIRECCION";#N/A,#N/A,TRUE,"RESUMEN"}</definedName>
    <definedName name="wrn.GERENCIA." localSheetId="16" hidden="1">{#N/A,#N/A,TRUE,"INGENIERIA";#N/A,#N/A,TRUE,"COMPRAS";#N/A,#N/A,TRUE,"DIRECCION";#N/A,#N/A,TRUE,"RESUMEN"}</definedName>
    <definedName name="wrn.GERENCIA." localSheetId="23" hidden="1">{#N/A,#N/A,TRUE,"INGENIERIA";#N/A,#N/A,TRUE,"COMPRAS";#N/A,#N/A,TRUE,"DIRECCION";#N/A,#N/A,TRUE,"RESUMEN"}</definedName>
    <definedName name="wrn.GERENCIA." hidden="1">{#N/A,#N/A,TRUE,"INGENIERIA";#N/A,#N/A,TRUE,"COMPRAS";#N/A,#N/A,TRUE,"DIRECCION";#N/A,#N/A,TRUE,"RESUMEN"}</definedName>
    <definedName name="wrn.index." hidden="1">{#N/A,#N/A,FALSE,"Sheet1"}</definedName>
    <definedName name="wrn.INFOCIB." localSheetId="4" hidden="1">{#N/A,#N/A,FALSE,"VOL695";#N/A,#N/A,FALSE,"anexo1";#N/A,#N/A,FALSE,"anexo2";#N/A,#N/A,FALSE,"anexo3";#N/A,#N/A,FALSE,"anexo4";#N/A,#N/A,FALSE,"anexo5a";#N/A,#N/A,FALSE,"anexo5b";#N/A,#N/A,FALSE,"anexo6a";#N/A,#N/A,FALSE,"anexo6a";#N/A,#N/A,FALSE,"anexo6c";#N/A,#N/A,FALSE,"anexo7a";#N/A,#N/A,FALSE,"anexo7b";#N/A,#N/A,FALSE,"anexo7c"}</definedName>
    <definedName name="wrn.INFOCIB." localSheetId="19" hidden="1">{#N/A,#N/A,FALSE,"VOL695";#N/A,#N/A,FALSE,"anexo1";#N/A,#N/A,FALSE,"anexo2";#N/A,#N/A,FALSE,"anexo3";#N/A,#N/A,FALSE,"anexo4";#N/A,#N/A,FALSE,"anexo5a";#N/A,#N/A,FALSE,"anexo5b";#N/A,#N/A,FALSE,"anexo6a";#N/A,#N/A,FALSE,"anexo6a";#N/A,#N/A,FALSE,"anexo6c";#N/A,#N/A,FALSE,"anexo7a";#N/A,#N/A,FALSE,"anexo7b";#N/A,#N/A,FALSE,"anexo7c"}</definedName>
    <definedName name="wrn.INFOCIB." localSheetId="16" hidden="1">{#N/A,#N/A,FALSE,"VOL695";#N/A,#N/A,FALSE,"anexo1";#N/A,#N/A,FALSE,"anexo2";#N/A,#N/A,FALSE,"anexo3";#N/A,#N/A,FALSE,"anexo4";#N/A,#N/A,FALSE,"anexo5a";#N/A,#N/A,FALSE,"anexo5b";#N/A,#N/A,FALSE,"anexo6a";#N/A,#N/A,FALSE,"anexo6a";#N/A,#N/A,FALSE,"anexo6c";#N/A,#N/A,FALSE,"anexo7a";#N/A,#N/A,FALSE,"anexo7b";#N/A,#N/A,FALSE,"anexo7c"}</definedName>
    <definedName name="wrn.INFOCIB." localSheetId="3" hidden="1">{#N/A,#N/A,FALSE,"VOL695";#N/A,#N/A,FALSE,"anexo1";#N/A,#N/A,FALSE,"anexo2";#N/A,#N/A,FALSE,"anexo3";#N/A,#N/A,FALSE,"anexo4";#N/A,#N/A,FALSE,"anexo5a";#N/A,#N/A,FALSE,"anexo5b";#N/A,#N/A,FALSE,"anexo6a";#N/A,#N/A,FALSE,"anexo6a";#N/A,#N/A,FALSE,"anexo6c";#N/A,#N/A,FALSE,"anexo7a";#N/A,#N/A,FALSE,"anexo7b";#N/A,#N/A,FALSE,"anexo7c"}</definedName>
    <definedName name="wrn.INFOCIB." localSheetId="15" hidden="1">{#N/A,#N/A,FALSE,"VOL695";#N/A,#N/A,FALSE,"anexo1";#N/A,#N/A,FALSE,"anexo2";#N/A,#N/A,FALSE,"anexo3";#N/A,#N/A,FALSE,"anexo4";#N/A,#N/A,FALSE,"anexo5a";#N/A,#N/A,FALSE,"anexo5b";#N/A,#N/A,FALSE,"anexo6a";#N/A,#N/A,FALSE,"anexo6a";#N/A,#N/A,FALSE,"anexo6c";#N/A,#N/A,FALSE,"anexo7a";#N/A,#N/A,FALSE,"anexo7b";#N/A,#N/A,FALSE,"anexo7c"}</definedName>
    <definedName name="wrn.INFOCIB." localSheetId="23" hidden="1">{#N/A,#N/A,FALSE,"VOL695";#N/A,#N/A,FALSE,"anexo1";#N/A,#N/A,FALSE,"anexo2";#N/A,#N/A,FALSE,"anexo3";#N/A,#N/A,FALSE,"anexo4";#N/A,#N/A,FALSE,"anexo5a";#N/A,#N/A,FALSE,"anexo5b";#N/A,#N/A,FALSE,"anexo6a";#N/A,#N/A,FALSE,"anexo6a";#N/A,#N/A,FALSE,"anexo6c";#N/A,#N/A,FALSE,"anexo7a";#N/A,#N/A,FALSE,"anexo7b";#N/A,#N/A,FALSE,"anexo7c"}</definedName>
    <definedName name="wrn.INFOCIB." localSheetId="0" hidden="1">{#N/A,#N/A,FALSE,"VOL695";#N/A,#N/A,FALSE,"anexo1";#N/A,#N/A,FALSE,"anexo2";#N/A,#N/A,FALSE,"anexo3";#N/A,#N/A,FALSE,"anexo4";#N/A,#N/A,FALSE,"anexo5a";#N/A,#N/A,FALSE,"anexo5b";#N/A,#N/A,FALSE,"anexo6a";#N/A,#N/A,FALSE,"anexo6a";#N/A,#N/A,FALSE,"anexo6c";#N/A,#N/A,FALSE,"anexo7a";#N/A,#N/A,FALSE,"anexo7b";#N/A,#N/A,FALSE,"anexo7c"}</definedName>
    <definedName name="wrn.INFOCIB." hidden="1">{#N/A,#N/A,FALSE,"VOL695";#N/A,#N/A,FALSE,"anexo1";#N/A,#N/A,FALSE,"anexo2";#N/A,#N/A,FALSE,"anexo3";#N/A,#N/A,FALSE,"anexo4";#N/A,#N/A,FALSE,"anexo5a";#N/A,#N/A,FALSE,"anexo5b";#N/A,#N/A,FALSE,"anexo6a";#N/A,#N/A,FALSE,"anexo6a";#N/A,#N/A,FALSE,"anexo6c";#N/A,#N/A,FALSE,"anexo7a";#N/A,#N/A,FALSE,"anexo7b";#N/A,#N/A,FALSE,"anexo7c"}</definedName>
    <definedName name="wrn.Job._.Plan." hidden="1">{"Original Plan",#N/A,FALSE,"BA D5"}</definedName>
    <definedName name="wrn.Kr." hidden="1">{"krl1",#N/A,FALSE,"kr";"krl2",#N/A,FALSE,"kr";"compara",#N/A,FALSE,"kr";"desconp1",#N/A,FALSE,"kr";"desconp12",#N/A,FALSE,"kr";"krnp1",#N/A,FALSE,"kr";"krnp2",#N/A,FALSE,"kr";"krp12avg",#N/A,FALSE,"kr";"krp1avg",#N/A,FALSE,"kr"}</definedName>
    <definedName name="wrn.Occidental._.Ppto._.Exe." hidden="1">{#N/A,#N/A,FALSE,"Cravo Norte"}</definedName>
    <definedName name="wrn.Perenco._.Ppto._.Exe." hidden="1">{#N/A,#N/A,FALSE,"Casanare";#N/A,#N/A,FALSE,"Estero";#N/A,#N/A,FALSE,"Garcero";#N/A,#N/A,FALSE,"Orocué";#N/A,#N/A,FALSE,"Corocora"}</definedName>
    <definedName name="wrn.Petrobras._.Ppto._.Exe." hidden="1">{#N/A,#N/A,FALSE,"Upía";#N/A,#N/A,FALSE,"CPR Espinal";#N/A,#N/A,FALSE,"Magangué"}</definedName>
    <definedName name="wrn.procurement." hidden="1">{#N/A,#N/A,FALSE,"sumi ";#N/A,#N/A,FALSE,"RESUMEN"}</definedName>
    <definedName name="wrn.redbook." hidden="1">{#N/A,#N/A,FALSE,"Index";#N/A,#N/A,FALSE,"inc stmt ";#N/A,#N/A,FALSE,"Prior Yr compare";#N/A,#N/A,FALSE,"Prior Mo compare";#N/A,#N/A,FALSE,"Halco graphs";#N/A,#N/A,FALSE,"Halco CVA";#N/A,#N/A,FALSE,"balsheet";#N/A,#N/A,FALSE,"Cflow long";#N/A,#N/A,FALSE,"Cfland T";#N/A,#N/A,FALSE,"Cfland M";#N/A,#N/A,FALSE,"HEG ytd psl";#N/A,#N/A,FALSE,"HEG mo psl";#N/A,#N/A,FALSE,"HEG graphs";#N/A,#N/A,FALSE,"HEG CVA";#N/A,#N/A,FALSE,"E&amp;C ytd psl";#N/A,#N/A,FALSE,"E&amp;C mo psl ";#N/A,#N/A,FALSE,"E&amp;C graphs";#N/A,#N/A,FALSE,"E&amp;C CVA";#N/A,#N/A,FALSE,"suppl-psl";#N/A,#N/A,FALSE,"Reconcile (ytd)";#N/A,#N/A,FALSE,"Reconcile (mon)"}</definedName>
    <definedName name="wrn.Resumen._.Job._.Performance." hidden="1">{"Job Performance",#N/A,FALSE,"BA D5";"Job Performance",#N/A,FALSE,"Bandunga";"Job Performance",#N/A,FALSE,"Ejemplo"}</definedName>
    <definedName name="wrn.RLFCST." hidden="1">{#N/A,#N/A,FALSE,"QsumREG";#N/A,#N/A,FALSE,"Reg";#N/A,#N/A,FALSE,"QsumPSL";#N/A,#N/A,FALSE,"PSL";#N/A,#N/A,FALSE,"fcstsum";#N/A,#N/A,FALSE,"cntsprt"}</definedName>
    <definedName name="wrn.tables." hidden="1">{"cprgas",#N/A,FALSE,"CPR_E";"cprwat",#N/A,FALSE,"CPR_E";"oilcpr",#N/A,FALSE,"CPR_E";"norwat",#N/A,FALSE,"CPR_E";"norgas",#N/A,FALSE,"CPR_E";"noroil",#N/A,FALSE,"CPR_E";"surwat",#N/A,FALSE,"CPR_E";"surgas",#N/A,FALSE,"CPR_E";"suroil",#N/A,FALSE,"CPR_E";"puriwat",#N/A,FALSE,"CPR_E";"purigas",#N/A,FALSE,"CPR_E";"purioil",#N/A,FALSE,"CPR_E"}</definedName>
    <definedName name="wrn.Todos._.CAs." hidden="1">{#N/A,#N/A,FALSE,"Cravo Norte";#N/A,#N/A,FALSE,"Upía";#N/A,#N/A,FALSE,"CPR Espinal";#N/A,#N/A,FALSE,"Magangué";#N/A,#N/A,FALSE,"Casanare";#N/A,#N/A,FALSE,"Estero";#N/A,#N/A,FALSE,"Garcero";#N/A,#N/A,FALSE,"Orocué";#N/A,#N/A,FALSE,"Corocora";#N/A,#N/A,FALSE,"CPR Santana"}</definedName>
    <definedName name="wrn.Updated._.Equipment." hidden="1">{"Actual Equipment",#N/A,FALSE,"BA D5"}</definedName>
    <definedName name="wrn1.index" hidden="1">{#N/A,#N/A,FALSE,"Sheet1"}</definedName>
    <definedName name="WSX" hidden="1">{#N/A,#N/A,FALSE,"EACT"}</definedName>
    <definedName name="Wtot">#REF!</definedName>
    <definedName name="wvu.oil." hidden="1">{TRUE,TRUE,-0.8,-17,618,378,FALSE,FALSE,TRUE,TRUE,0,33,#N/A,89,#N/A,14.5641025641026,175.058823529412,1,FALSE,FALSE,3,TRUE,1,FALSE,75,"Swvu.oil.","ACwvu.oil.",#N/A,FALSE,FALSE,0.196850393700787,0.196850393700787,0.196850393700787,0.196850393700787,2,"","",TRUE,TRUE,FALSE,FALSE,1,#N/A,1,1,"=R1C1:R248C39",FALSE,"Rwvu.oil.","Cwvu.oil.",FALSE,FALSE,FALSE,1,600,600,FALSE,FALSE,TRUE,TRUE,TRUE}</definedName>
    <definedName name="wvu.oilgasagua." hidden="1">{TRUE,TRUE,-0.8,-17,618,378,FALSE,FALSE,TRUE,TRUE,0,46,#N/A,77,#N/A,11.8461538461538,187.058823529412,1,FALSE,FALSE,3,TRUE,1,FALSE,75,"Swvu.oilgasagua.","ACwvu.oilgasagua.",#N/A,FALSE,FALSE,0.196850393700787,0.196850393700787,0.196850393700787,0.196850393700787,2,"","",TRUE,TRUE,FALSE,FALSE,1,#N/A,1,1,"=R1C1:R248C51",FALSE,"Rwvu.oilgasagua.","Cwvu.oilgasagua.",FALSE,FALSE,FALSE,1,600,600,FALSE,FALSE,TRUE,TRUE,TRUE}</definedName>
    <definedName name="wvu.Q1._.1995."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wvu.Q1._.1995._1"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wvu.Q1._.1995._2"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wvu.Q2._.1995."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wvu.Q2._.1995._1"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wvu.Q2._.1995._2" hidden="1">{TRUE,TRUE,1,1,542,364,FALSE,FALSE,TRUE,FALSE,0,3,21,1,1,0.524,3,2,TRUE,TRUE,1,TRUE,1,FALSE,100,"Swvu.Q2._.1995.","ACwvu.Q2._.1995.",1,FALSE,FALSE,0,0,0.65,0.88,2,"&amp;C&amp;""Times""&amp;14&amp;BAnadrill Sales Plan  -  1995&amp;R&amp;""Times""&amp;9&amp;d     &amp;t","&amp;R&amp;""Times""Page &amp;p",TRUE,TRUE,FALSE,FALSE,2,100,#N/A,#N/A,"=R1C1:R112C32",FALSE,"Rwvu.Q2._.1995.",#N/A,FALSE,FALSE}</definedName>
    <definedName name="wvu.RCEIBAS1." hidden="1">{TRUE,TRUE,-0.8,-17,618,355.8,FALSE,TRUE,TRUE,TRUE,0,1,#N/A,1,#N/A,16.9838709677419,50.6666666666667,1,FALSE,FALSE,3,TRUE,1,FALSE,80,"Swvu.RCEIBAS1.","ACwvu.RCEIBAS1.",#N/A,FALSE,FALSE,0.196850393700787,0.196850393700787,0.196850393700787,0.196850393700787,2,"","",TRUE,TRUE,FALSE,TRUE,1,#N/A,1,1,"=R1C1:R228C37",FALSE,#N/A,"Cwvu.RCEIBAS1.",FALSE,FALSE,FALSE,1,600,600,FALSE,FALSE,TRUE,TRUE,TRUE}</definedName>
    <definedName name="wvu.VIEW._.ALL."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 name="wvu.VIEW._.ALL._1"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 name="wvu.VIEW._.ALL._2"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 name="ww"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ww_1"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ww_2" hidden="1">{TRUE,TRUE,1,1,542,364,FALSE,FALSE,TRUE,FALSE,0,3,29,2,1,0.524,3,2,TRUE,TRUE,1,TRUE,1,FALSE,100,"Swvu.Q1._.1995.","ACwvu.Q1._.1995.",1,FALSE,FALSE,0,0,0.65,0.88,2,"&amp;C&amp;""Times""&amp;14&amp;BAnadrill Sales Plan  -  1995&amp;R&amp;""Times""&amp;9&amp;d     &amp;t","&amp;R&amp;""Times""Page &amp;p",TRUE,TRUE,FALSE,FALSE,2,100,#N/A,#N/A,"=R1C1:R112C32",FALSE,"Rwvu.Q1._.1995.",#N/A,FALSE,FALSE}</definedName>
    <definedName name="wwn.infocib" localSheetId="4" hidden="1">{#N/A,#N/A,FALSE,"VOL695";#N/A,#N/A,FALSE,"anexo1";#N/A,#N/A,FALSE,"anexo2";#N/A,#N/A,FALSE,"anexo3";#N/A,#N/A,FALSE,"anexo4";#N/A,#N/A,FALSE,"anexo5a";#N/A,#N/A,FALSE,"anexo5b";#N/A,#N/A,FALSE,"anexo6a";#N/A,#N/A,FALSE,"anexo6a";#N/A,#N/A,FALSE,"anexo6c";#N/A,#N/A,FALSE,"anexo7a";#N/A,#N/A,FALSE,"anexo7b";#N/A,#N/A,FALSE,"anexo7c"}</definedName>
    <definedName name="wwn.infocib" localSheetId="19" hidden="1">{#N/A,#N/A,FALSE,"VOL695";#N/A,#N/A,FALSE,"anexo1";#N/A,#N/A,FALSE,"anexo2";#N/A,#N/A,FALSE,"anexo3";#N/A,#N/A,FALSE,"anexo4";#N/A,#N/A,FALSE,"anexo5a";#N/A,#N/A,FALSE,"anexo5b";#N/A,#N/A,FALSE,"anexo6a";#N/A,#N/A,FALSE,"anexo6a";#N/A,#N/A,FALSE,"anexo6c";#N/A,#N/A,FALSE,"anexo7a";#N/A,#N/A,FALSE,"anexo7b";#N/A,#N/A,FALSE,"anexo7c"}</definedName>
    <definedName name="wwn.infocib" localSheetId="16" hidden="1">{#N/A,#N/A,FALSE,"VOL695";#N/A,#N/A,FALSE,"anexo1";#N/A,#N/A,FALSE,"anexo2";#N/A,#N/A,FALSE,"anexo3";#N/A,#N/A,FALSE,"anexo4";#N/A,#N/A,FALSE,"anexo5a";#N/A,#N/A,FALSE,"anexo5b";#N/A,#N/A,FALSE,"anexo6a";#N/A,#N/A,FALSE,"anexo6a";#N/A,#N/A,FALSE,"anexo6c";#N/A,#N/A,FALSE,"anexo7a";#N/A,#N/A,FALSE,"anexo7b";#N/A,#N/A,FALSE,"anexo7c"}</definedName>
    <definedName name="wwn.infocib" localSheetId="3" hidden="1">{#N/A,#N/A,FALSE,"VOL695";#N/A,#N/A,FALSE,"anexo1";#N/A,#N/A,FALSE,"anexo2";#N/A,#N/A,FALSE,"anexo3";#N/A,#N/A,FALSE,"anexo4";#N/A,#N/A,FALSE,"anexo5a";#N/A,#N/A,FALSE,"anexo5b";#N/A,#N/A,FALSE,"anexo6a";#N/A,#N/A,FALSE,"anexo6a";#N/A,#N/A,FALSE,"anexo6c";#N/A,#N/A,FALSE,"anexo7a";#N/A,#N/A,FALSE,"anexo7b";#N/A,#N/A,FALSE,"anexo7c"}</definedName>
    <definedName name="wwn.infocib" localSheetId="15" hidden="1">{#N/A,#N/A,FALSE,"VOL695";#N/A,#N/A,FALSE,"anexo1";#N/A,#N/A,FALSE,"anexo2";#N/A,#N/A,FALSE,"anexo3";#N/A,#N/A,FALSE,"anexo4";#N/A,#N/A,FALSE,"anexo5a";#N/A,#N/A,FALSE,"anexo5b";#N/A,#N/A,FALSE,"anexo6a";#N/A,#N/A,FALSE,"anexo6a";#N/A,#N/A,FALSE,"anexo6c";#N/A,#N/A,FALSE,"anexo7a";#N/A,#N/A,FALSE,"anexo7b";#N/A,#N/A,FALSE,"anexo7c"}</definedName>
    <definedName name="wwn.infocib" localSheetId="23" hidden="1">{#N/A,#N/A,FALSE,"VOL695";#N/A,#N/A,FALSE,"anexo1";#N/A,#N/A,FALSE,"anexo2";#N/A,#N/A,FALSE,"anexo3";#N/A,#N/A,FALSE,"anexo4";#N/A,#N/A,FALSE,"anexo5a";#N/A,#N/A,FALSE,"anexo5b";#N/A,#N/A,FALSE,"anexo6a";#N/A,#N/A,FALSE,"anexo6a";#N/A,#N/A,FALSE,"anexo6c";#N/A,#N/A,FALSE,"anexo7a";#N/A,#N/A,FALSE,"anexo7b";#N/A,#N/A,FALSE,"anexo7c"}</definedName>
    <definedName name="wwn.infocib" localSheetId="0" hidden="1">{#N/A,#N/A,FALSE,"VOL695";#N/A,#N/A,FALSE,"anexo1";#N/A,#N/A,FALSE,"anexo2";#N/A,#N/A,FALSE,"anexo3";#N/A,#N/A,FALSE,"anexo4";#N/A,#N/A,FALSE,"anexo5a";#N/A,#N/A,FALSE,"anexo5b";#N/A,#N/A,FALSE,"anexo6a";#N/A,#N/A,FALSE,"anexo6a";#N/A,#N/A,FALSE,"anexo6c";#N/A,#N/A,FALSE,"anexo7a";#N/A,#N/A,FALSE,"anexo7b";#N/A,#N/A,FALSE,"anexo7c"}</definedName>
    <definedName name="wwn.infocib" hidden="1">{#N/A,#N/A,FALSE,"VOL695";#N/A,#N/A,FALSE,"anexo1";#N/A,#N/A,FALSE,"anexo2";#N/A,#N/A,FALSE,"anexo3";#N/A,#N/A,FALSE,"anexo4";#N/A,#N/A,FALSE,"anexo5a";#N/A,#N/A,FALSE,"anexo5b";#N/A,#N/A,FALSE,"anexo6a";#N/A,#N/A,FALSE,"anexo6a";#N/A,#N/A,FALSE,"anexo6c";#N/A,#N/A,FALSE,"anexo7a";#N/A,#N/A,FALSE,"anexo7b";#N/A,#N/A,FALSE,"anexo7c"}</definedName>
    <definedName name="WWW">#N/A</definedName>
    <definedName name="X" localSheetId="4">#REF!</definedName>
    <definedName name="X" localSheetId="3">#REF!</definedName>
    <definedName name="x" hidden="1">{#N/A,#N/A,FALSE,"SMT1";#N/A,#N/A,FALSE,"SMT2";#N/A,#N/A,FALSE,"Summary";#N/A,#N/A,FALSE,"Graphs";#N/A,#N/A,FALSE,"4 Panel"}</definedName>
    <definedName name="X_PIMS">#REF!</definedName>
    <definedName name="XAARB">#REF!</definedName>
    <definedName name="XACEB">#REF!</definedName>
    <definedName name="XACPA">#REF!</definedName>
    <definedName name="XACPB">#REF!</definedName>
    <definedName name="XALC">#REF!</definedName>
    <definedName name="XARMA">#REF!</definedName>
    <definedName name="XASFA">#REF!</definedName>
    <definedName name="XASFB">#REF!</definedName>
    <definedName name="XAVGA">#REF!</definedName>
    <definedName name="XBEIA">#REF!</definedName>
    <definedName name="XBEN">#REF!</definedName>
    <definedName name="XBENE">#REF!</definedName>
    <definedName name="XBMC">#REF!</definedName>
    <definedName name="XBNPA">#REF!</definedName>
    <definedName name="XBPP">#REF!</definedName>
    <definedName name="XC4NA">#REF!</definedName>
    <definedName name="XCCX">#REF!</definedName>
    <definedName name="XCCXE">#REF!</definedName>
    <definedName name="XCDNI">#REF!</definedName>
    <definedName name="XCLE">#REF!</definedName>
    <definedName name="XCOEB">#REF!</definedName>
    <definedName name="xcoincidencefactor_001">#REF!</definedName>
    <definedName name="XCOK">#REF!</definedName>
    <definedName name="XCOPA">#REF!</definedName>
    <definedName name="XCPP">#REF!</definedName>
    <definedName name="XCRUDOS">#REF!</definedName>
    <definedName name="XDIS">#REF!</definedName>
    <definedName name="XGLPE">#REF!</definedName>
    <definedName name="XGLXE">#REF!</definedName>
    <definedName name="XGMEA">#REF!</definedName>
    <definedName name="XGMEB">#REF!</definedName>
    <definedName name="XGMRA">#REF!</definedName>
    <definedName name="XGMRB">#REF!</definedName>
    <definedName name="XGOEB">#REF!</definedName>
    <definedName name="XHEX">#REF!</definedName>
    <definedName name="XIL_">#REF!</definedName>
    <definedName name="XILE_">#REF!</definedName>
    <definedName name="XJEE">#REF!</definedName>
    <definedName name="XJETA">#REF!</definedName>
    <definedName name="XJETB">#REF!</definedName>
    <definedName name="XLPGA">#REF!</definedName>
    <definedName name="XLPGB">#REF!</definedName>
    <definedName name="XNVGA">#REF!</definedName>
    <definedName name="XNVIB">#REF!</definedName>
    <definedName name="XPIMS">#REF!</definedName>
    <definedName name="XPLOT" hidden="1">{"krl1",#N/A,FALSE,"kr";"krl2",#N/A,FALSE,"kr";"compara",#N/A,FALSE,"kr";"desconp1",#N/A,FALSE,"kr";"desconp12",#N/A,FALSE,"kr";"krnp1",#N/A,FALSE,"kr";"krnp2",#N/A,FALSE,"kr";"krp12avg",#N/A,FALSE,"kr";"krp1avg",#N/A,FALSE,"kr"}</definedName>
    <definedName name="XQUEA">#REF!</definedName>
    <definedName name="XQUEB">#REF!</definedName>
    <definedName name="XSULA">#REF!</definedName>
    <definedName name="XSULB">#REF!</definedName>
    <definedName name="XSW" localSheetId="19" hidden="1">{#N/A,#N/A,TRUE,"1842CWN0"}</definedName>
    <definedName name="XSW" localSheetId="22" hidden="1">{#N/A,#N/A,TRUE,"1842CWN0"}</definedName>
    <definedName name="XSW" localSheetId="16" hidden="1">{#N/A,#N/A,TRUE,"1842CWN0"}</definedName>
    <definedName name="XSW" localSheetId="23" hidden="1">{#N/A,#N/A,TRUE,"1842CWN0"}</definedName>
    <definedName name="XSW" hidden="1">{#N/A,#N/A,TRUE,"1842CWN0"}</definedName>
    <definedName name="XTOL">#REF!</definedName>
    <definedName name="XUEE">#REF!</definedName>
    <definedName name="XVIRG">#REF!</definedName>
    <definedName name="XX" localSheetId="4">#REF!</definedName>
    <definedName name="xx" localSheetId="19">IF([0]!Loan_Amount*[0]!Interest_Rate*[0]!Loan_Years*[0]!Loan_Start&gt;0,1,0)</definedName>
    <definedName name="xx" localSheetId="16">IF([0]!Loan_Amount*[0]!Interest_Rate*[0]!Loan_Years*[0]!Loan_Start&gt;0,1,0)</definedName>
    <definedName name="xx" localSheetId="13">IF([0]!Loan_Amount*[0]!Interest_Rate*[0]!Loan_Years*[0]!Loan_Start&gt;0,1,0)</definedName>
    <definedName name="XX" localSheetId="3">#REF!</definedName>
    <definedName name="xx" localSheetId="15">IF(RESUMEN!Loan_Amount*RESUMEN!Interest_Rate*RESUMEN!Loan_Years*RESUMEN!Loan_Start&gt;0,1,0)</definedName>
    <definedName name="xx" localSheetId="23">IF('Tablas Cables'!Loan_Amount*'Tablas Cables'!Interest_Rate*'Tablas Cables'!Loan_Years*'Tablas Cables'!Loan_Start&gt;0,1,0)</definedName>
    <definedName name="xx" localSheetId="0">IF([0]!Loan_Amount*[0]!Interest_Rate*[0]!Loan_Years*[0]!Loan_Start&gt;0,1,0)</definedName>
    <definedName name="xx">IF([0]!Loan_Amount*[0]!Interest_Rate*[0]!Loan_Years*[0]!Loan_Start&gt;0,1,0)</definedName>
    <definedName name="XXIL">#REF!</definedName>
    <definedName name="XXILE">#REF!</definedName>
    <definedName name="xxx" localSheetId="4" hidden="1">{#N/A,#N/A,FALSE,"Costos Productos 6A";#N/A,#N/A,FALSE,"Costo Unitario Total H-94-12"}</definedName>
    <definedName name="xxx" localSheetId="19" hidden="1">{#N/A,#N/A,FALSE,"Costos Productos 6A";#N/A,#N/A,FALSE,"Costo Unitario Total H-94-12"}</definedName>
    <definedName name="xxx" localSheetId="16" hidden="1">{#N/A,#N/A,FALSE,"Costos Productos 6A";#N/A,#N/A,FALSE,"Costo Unitario Total H-94-12"}</definedName>
    <definedName name="xxx" localSheetId="3" hidden="1">{#N/A,#N/A,FALSE,"Costos Productos 6A";#N/A,#N/A,FALSE,"Costo Unitario Total H-94-12"}</definedName>
    <definedName name="xxx" localSheetId="15" hidden="1">{#N/A,#N/A,FALSE,"Costos Productos 6A";#N/A,#N/A,FALSE,"Costo Unitario Total H-94-12"}</definedName>
    <definedName name="xxx" localSheetId="23" hidden="1">{#N/A,#N/A,FALSE,"Costos Productos 6A";#N/A,#N/A,FALSE,"Costo Unitario Total H-94-12"}</definedName>
    <definedName name="xxx" localSheetId="0" hidden="1">{#N/A,#N/A,FALSE,"Costos Productos 6A";#N/A,#N/A,FALSE,"Costo Unitario Total H-94-12"}</definedName>
    <definedName name="xxx" hidden="1">{#N/A,#N/A,FALSE,"Costos Productos 6A";#N/A,#N/A,FALSE,"Costo Unitario Total H-94-12"}</definedName>
    <definedName name="XXXX" localSheetId="4" hidden="1">{#N/A,#N/A,FALSE,"CIBHA05A";#N/A,#N/A,FALSE,"CIBHA05B"}</definedName>
    <definedName name="XXXX" localSheetId="19" hidden="1">#REF!</definedName>
    <definedName name="XXXX" localSheetId="22" hidden="1">#REF!</definedName>
    <definedName name="XXXX" localSheetId="16" hidden="1">#REF!</definedName>
    <definedName name="XXXX" localSheetId="3" hidden="1">{#N/A,#N/A,FALSE,"CIBHA05A";#N/A,#N/A,FALSE,"CIBHA05B"}</definedName>
    <definedName name="XXXX" localSheetId="15" hidden="1">{#N/A,#N/A,FALSE,"CIBHA05A";#N/A,#N/A,FALSE,"CIBHA05B"}</definedName>
    <definedName name="XXXX" localSheetId="23" hidden="1">#REF!</definedName>
    <definedName name="XXXX" localSheetId="0" hidden="1">{#N/A,#N/A,FALSE,"CIBHA05A";#N/A,#N/A,FALSE,"CIBHA05B"}</definedName>
    <definedName name="XXXX" hidden="1">{#N/A,#N/A,FALSE,"CIBHA05A";#N/A,#N/A,FALSE,"CIBHA05B"}</definedName>
    <definedName name="xxxxx" localSheetId="4" hidden="1">{#N/A,#N/A,FALSE,"VOL695";#N/A,#N/A,FALSE,"anexo1";#N/A,#N/A,FALSE,"anexo2";#N/A,#N/A,FALSE,"anexo3";#N/A,#N/A,FALSE,"anexo4";#N/A,#N/A,FALSE,"anexo5a";#N/A,#N/A,FALSE,"anexo5b";#N/A,#N/A,FALSE,"anexo6a";#N/A,#N/A,FALSE,"anexo6a";#N/A,#N/A,FALSE,"anexo6c";#N/A,#N/A,FALSE,"anexo7a";#N/A,#N/A,FALSE,"anexo7b";#N/A,#N/A,FALSE,"anexo7c"}</definedName>
    <definedName name="xxxxx" localSheetId="19" hidden="1">{#N/A,#N/A,FALSE,"VOL695";#N/A,#N/A,FALSE,"anexo1";#N/A,#N/A,FALSE,"anexo2";#N/A,#N/A,FALSE,"anexo3";#N/A,#N/A,FALSE,"anexo4";#N/A,#N/A,FALSE,"anexo5a";#N/A,#N/A,FALSE,"anexo5b";#N/A,#N/A,FALSE,"anexo6a";#N/A,#N/A,FALSE,"anexo6a";#N/A,#N/A,FALSE,"anexo6c";#N/A,#N/A,FALSE,"anexo7a";#N/A,#N/A,FALSE,"anexo7b";#N/A,#N/A,FALSE,"anexo7c"}</definedName>
    <definedName name="xxxxx" localSheetId="16" hidden="1">{#N/A,#N/A,FALSE,"VOL695";#N/A,#N/A,FALSE,"anexo1";#N/A,#N/A,FALSE,"anexo2";#N/A,#N/A,FALSE,"anexo3";#N/A,#N/A,FALSE,"anexo4";#N/A,#N/A,FALSE,"anexo5a";#N/A,#N/A,FALSE,"anexo5b";#N/A,#N/A,FALSE,"anexo6a";#N/A,#N/A,FALSE,"anexo6a";#N/A,#N/A,FALSE,"anexo6c";#N/A,#N/A,FALSE,"anexo7a";#N/A,#N/A,FALSE,"anexo7b";#N/A,#N/A,FALSE,"anexo7c"}</definedName>
    <definedName name="xxxxx" localSheetId="3" hidden="1">{#N/A,#N/A,FALSE,"VOL695";#N/A,#N/A,FALSE,"anexo1";#N/A,#N/A,FALSE,"anexo2";#N/A,#N/A,FALSE,"anexo3";#N/A,#N/A,FALSE,"anexo4";#N/A,#N/A,FALSE,"anexo5a";#N/A,#N/A,FALSE,"anexo5b";#N/A,#N/A,FALSE,"anexo6a";#N/A,#N/A,FALSE,"anexo6a";#N/A,#N/A,FALSE,"anexo6c";#N/A,#N/A,FALSE,"anexo7a";#N/A,#N/A,FALSE,"anexo7b";#N/A,#N/A,FALSE,"anexo7c"}</definedName>
    <definedName name="xxxxx" localSheetId="15" hidden="1">{#N/A,#N/A,FALSE,"VOL695";#N/A,#N/A,FALSE,"anexo1";#N/A,#N/A,FALSE,"anexo2";#N/A,#N/A,FALSE,"anexo3";#N/A,#N/A,FALSE,"anexo4";#N/A,#N/A,FALSE,"anexo5a";#N/A,#N/A,FALSE,"anexo5b";#N/A,#N/A,FALSE,"anexo6a";#N/A,#N/A,FALSE,"anexo6a";#N/A,#N/A,FALSE,"anexo6c";#N/A,#N/A,FALSE,"anexo7a";#N/A,#N/A,FALSE,"anexo7b";#N/A,#N/A,FALSE,"anexo7c"}</definedName>
    <definedName name="xxxxx" localSheetId="23" hidden="1">{#N/A,#N/A,FALSE,"VOL695";#N/A,#N/A,FALSE,"anexo1";#N/A,#N/A,FALSE,"anexo2";#N/A,#N/A,FALSE,"anexo3";#N/A,#N/A,FALSE,"anexo4";#N/A,#N/A,FALSE,"anexo5a";#N/A,#N/A,FALSE,"anexo5b";#N/A,#N/A,FALSE,"anexo6a";#N/A,#N/A,FALSE,"anexo6a";#N/A,#N/A,FALSE,"anexo6c";#N/A,#N/A,FALSE,"anexo7a";#N/A,#N/A,FALSE,"anexo7b";#N/A,#N/A,FALSE,"anexo7c"}</definedName>
    <definedName name="xxxxx" localSheetId="0" hidden="1">{#N/A,#N/A,FALSE,"VOL695";#N/A,#N/A,FALSE,"anexo1";#N/A,#N/A,FALSE,"anexo2";#N/A,#N/A,FALSE,"anexo3";#N/A,#N/A,FALSE,"anexo4";#N/A,#N/A,FALSE,"anexo5a";#N/A,#N/A,FALSE,"anexo5b";#N/A,#N/A,FALSE,"anexo6a";#N/A,#N/A,FALSE,"anexo6a";#N/A,#N/A,FALSE,"anexo6c";#N/A,#N/A,FALSE,"anexo7a";#N/A,#N/A,FALSE,"anexo7b";#N/A,#N/A,FALSE,"anexo7c"}</definedName>
    <definedName name="xxxxx" hidden="1">{#N/A,#N/A,FALSE,"VOL695";#N/A,#N/A,FALSE,"anexo1";#N/A,#N/A,FALSE,"anexo2";#N/A,#N/A,FALSE,"anexo3";#N/A,#N/A,FALSE,"anexo4";#N/A,#N/A,FALSE,"anexo5a";#N/A,#N/A,FALSE,"anexo5b";#N/A,#N/A,FALSE,"anexo6a";#N/A,#N/A,FALSE,"anexo6a";#N/A,#N/A,FALSE,"anexo6c";#N/A,#N/A,FALSE,"anexo7a";#N/A,#N/A,FALSE,"anexo7b";#N/A,#N/A,FALSE,"anexo7c"}</definedName>
    <definedName name="XXXXXXXX" hidden="1">#REF!</definedName>
    <definedName name="XXXXXXXXXXXXXXXX" hidden="1">#REF!</definedName>
    <definedName name="XZS" localSheetId="22" hidden="1">#REF!</definedName>
    <definedName name="XZS" localSheetId="23" hidden="1">#REF!</definedName>
    <definedName name="XZS" hidden="1">#REF!</definedName>
    <definedName name="y" hidden="1">{#N/A,#N/A,FALSE,"Full";#N/A,#N/A,FALSE,"Half";#N/A,#N/A,FALSE,"Op Expenses";#N/A,#N/A,FALSE,"Cap Charge";#N/A,#N/A,FALSE,"Cost C";#N/A,#N/A,FALSE,"PP&amp;E";#N/A,#N/A,FALSE,"R&amp;D"}</definedName>
    <definedName name="ycoincidencefactor_001">#REF!</definedName>
    <definedName name="you" hidden="1">{#N/A,#N/A,FALSE,"3mthsum.xls";#N/A,#N/A,FALSE,"fcstmth1.xls";#N/A,#N/A,FALSE,"fcstmth2.xls";#N/A,#N/A,FALSE,"fcstmth3.xls";#N/A,#N/A,FALSE,"cntsprt.xls";#N/A,#N/A,FALSE,"fldind.xls";#N/A,#N/A,FALSE,"epo.xls";#N/A,#N/A,FALSE,"tech.xls";#N/A,#N/A,FALSE,"train.xls";#N/A,#N/A,FALSE,"realest.xls";#N/A,#N/A,FALSE,"cfs.xls"}</definedName>
    <definedName name="YY" localSheetId="19">Scheduled_Payment+Extra_Payment</definedName>
    <definedName name="YY" localSheetId="16">Scheduled_Payment+Extra_Payment</definedName>
    <definedName name="YY" localSheetId="13">Scheduled_Payment+Extra_Payment</definedName>
    <definedName name="YY" localSheetId="15">Scheduled_Payment+Extra_Payment</definedName>
    <definedName name="YY" localSheetId="23">Scheduled_Payment+Extra_Payment</definedName>
    <definedName name="YY" localSheetId="0">Scheduled_Payment+Extra_Payment</definedName>
    <definedName name="YY">Scheduled_Payment+Extra_Payment</definedName>
    <definedName name="yyyyy" localSheetId="4" hidden="1">{#N/A,#N/A,FALSE,"Costos Productos 6A";#N/A,#N/A,FALSE,"Costo Unitario Total H-94-12"}</definedName>
    <definedName name="yyyyy" localSheetId="19" hidden="1">{#N/A,#N/A,FALSE,"Costos Productos 6A";#N/A,#N/A,FALSE,"Costo Unitario Total H-94-12"}</definedName>
    <definedName name="yyyyy" localSheetId="16" hidden="1">{#N/A,#N/A,FALSE,"Costos Productos 6A";#N/A,#N/A,FALSE,"Costo Unitario Total H-94-12"}</definedName>
    <definedName name="yyyyy" localSheetId="3" hidden="1">{#N/A,#N/A,FALSE,"Costos Productos 6A";#N/A,#N/A,FALSE,"Costo Unitario Total H-94-12"}</definedName>
    <definedName name="yyyyy" localSheetId="15" hidden="1">{#N/A,#N/A,FALSE,"Costos Productos 6A";#N/A,#N/A,FALSE,"Costo Unitario Total H-94-12"}</definedName>
    <definedName name="yyyyy" localSheetId="23" hidden="1">{#N/A,#N/A,FALSE,"Costos Productos 6A";#N/A,#N/A,FALSE,"Costo Unitario Total H-94-12"}</definedName>
    <definedName name="yyyyy" localSheetId="0" hidden="1">{#N/A,#N/A,FALSE,"Costos Productos 6A";#N/A,#N/A,FALSE,"Costo Unitario Total H-94-12"}</definedName>
    <definedName name="yyyyy" hidden="1">{#N/A,#N/A,FALSE,"Costos Productos 6A";#N/A,#N/A,FALSE,"Costo Unitario Total H-94-12"}</definedName>
    <definedName name="z" localSheetId="22" hidden="1">#REF!</definedName>
    <definedName name="z" localSheetId="23" hidden="1">#REF!</definedName>
    <definedName name="z" hidden="1">#REF!</definedName>
    <definedName name="ZAQ" localSheetId="19" hidden="1">{#N/A,#N/A,TRUE,"INGENIERIA";#N/A,#N/A,TRUE,"COMPRAS";#N/A,#N/A,TRUE,"DIRECCION";#N/A,#N/A,TRUE,"RESUMEN"}</definedName>
    <definedName name="ZAQ" localSheetId="22" hidden="1">{#N/A,#N/A,TRUE,"INGENIERIA";#N/A,#N/A,TRUE,"COMPRAS";#N/A,#N/A,TRUE,"DIRECCION";#N/A,#N/A,TRUE,"RESUMEN"}</definedName>
    <definedName name="ZAQ" localSheetId="16" hidden="1">{#N/A,#N/A,TRUE,"INGENIERIA";#N/A,#N/A,TRUE,"COMPRAS";#N/A,#N/A,TRUE,"DIRECCION";#N/A,#N/A,TRUE,"RESUMEN"}</definedName>
    <definedName name="ZAQ" localSheetId="23" hidden="1">{#N/A,#N/A,TRUE,"INGENIERIA";#N/A,#N/A,TRUE,"COMPRAS";#N/A,#N/A,TRUE,"DIRECCION";#N/A,#N/A,TRUE,"RESUMEN"}</definedName>
    <definedName name="ZAQ" hidden="1">{#N/A,#N/A,TRUE,"INGENIERIA";#N/A,#N/A,TRUE,"COMPRAS";#N/A,#N/A,TRUE,"DIRECCION";#N/A,#N/A,TRUE,"RESUMEN"}</definedName>
    <definedName name="zcoincidencefactor_001">#REF!</definedName>
    <definedName name="ZSDFGSERGASDGF" hidden="1">{"EVA",#N/A,FALSE,"SMT2";#N/A,#N/A,FALSE,"Summary";#N/A,#N/A,FALSE,"Graphs";#N/A,#N/A,FALSE,"4 Panel"}</definedName>
    <definedName name="zzcoincidencefactor_001">#REF!</definedName>
    <definedName name="zzv" hidden="1">{TRUE,TRUE,1,1,542,364,FALSE,FALSE,TRUE,FALSE,0,3,4,3,1,0.98,3,1,TRUE,TRUE,1,TRUE,1,FALSE,100,"Swvu.VIEW._.ALL.","ACwvu.VIEW._.ALL.",1,FALSE,FALSE,0,0,0.65,0.88,2,"&amp;C&amp;""Times""&amp;14&amp;BAnadrill Sales Plan  -  1995&amp;R&amp;""Times""&amp;9&amp;d     &amp;t","&amp;R&amp;""Times""Page &amp;p",TRUE,TRUE,FALSE,FALSE,2,100,#N/A,#N/A,"=R1C1:R112C32",FALSE,#N/A,#N/A,FALSE,FALSE}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9" i="125" l="1"/>
  <c r="H28" i="125"/>
  <c r="L3" i="30"/>
  <c r="L2" i="30"/>
  <c r="E3" i="84"/>
  <c r="E2" i="84"/>
  <c r="I3" i="29"/>
  <c r="I2" i="29"/>
  <c r="F3" i="50"/>
  <c r="F2" i="50"/>
  <c r="F3" i="7"/>
  <c r="F2" i="7"/>
  <c r="F3" i="34"/>
  <c r="O4" i="30"/>
  <c r="G4" i="7"/>
  <c r="G4" i="50"/>
  <c r="J4" i="29"/>
  <c r="G4" i="52"/>
  <c r="F4" i="84"/>
  <c r="F5" i="84"/>
  <c r="R6" i="123"/>
  <c r="O5" i="30"/>
  <c r="G5" i="52"/>
  <c r="J5" i="29"/>
  <c r="G5" i="50"/>
  <c r="G5" i="7"/>
  <c r="T31" i="84"/>
  <c r="V30" i="93"/>
  <c r="R30" i="93"/>
  <c r="R33" i="93" s="1"/>
  <c r="K30" i="93"/>
  <c r="L30" i="93"/>
  <c r="M30" i="93"/>
  <c r="N30" i="93"/>
  <c r="N31" i="93" s="1"/>
  <c r="O30" i="93"/>
  <c r="P30" i="93"/>
  <c r="J30" i="93"/>
  <c r="I30" i="93"/>
  <c r="H30" i="93"/>
  <c r="G30" i="93"/>
  <c r="F30" i="93"/>
  <c r="E30" i="93"/>
  <c r="AS30" i="93"/>
  <c r="AK30" i="93"/>
  <c r="AH30" i="93"/>
  <c r="AF30" i="93"/>
  <c r="AC30" i="93"/>
  <c r="T30" i="93"/>
  <c r="N31" i="84"/>
  <c r="F31" i="84"/>
  <c r="D31" i="84"/>
  <c r="C31" i="84"/>
  <c r="E19" i="93"/>
  <c r="F13" i="84"/>
  <c r="I7" i="93"/>
  <c r="I6" i="93"/>
  <c r="I19" i="93" l="1"/>
  <c r="J31" i="84" s="1"/>
  <c r="F19" i="93"/>
  <c r="G31" i="84" s="1"/>
  <c r="G19" i="93"/>
  <c r="H31" i="84" s="1"/>
  <c r="H19" i="93"/>
  <c r="I31" i="84" s="1"/>
  <c r="J19" i="93"/>
  <c r="K31" i="84" s="1"/>
  <c r="L19" i="93"/>
  <c r="M19" i="93"/>
  <c r="AS19" i="93"/>
  <c r="AK19" i="93"/>
  <c r="AH19" i="93"/>
  <c r="AF19" i="93"/>
  <c r="AC19" i="93"/>
  <c r="T19" i="93"/>
  <c r="B17" i="124"/>
  <c r="B16" i="124"/>
  <c r="B14" i="124"/>
  <c r="B13" i="124"/>
  <c r="B24" i="124"/>
  <c r="B12" i="124"/>
  <c r="C38" i="30"/>
  <c r="G5" i="34"/>
  <c r="G4" i="34"/>
  <c r="F2" i="34"/>
  <c r="X6" i="123"/>
  <c r="AD29" i="123" s="1"/>
  <c r="I3" i="123"/>
  <c r="AD31" i="123" l="1"/>
  <c r="F39" i="123" s="1"/>
  <c r="AD30" i="123"/>
  <c r="C8" i="84"/>
  <c r="C27" i="84"/>
  <c r="BF20" i="7" l="1"/>
  <c r="BF21" i="7"/>
  <c r="BF22" i="7"/>
  <c r="BF23" i="7"/>
  <c r="BF24" i="7"/>
  <c r="BF25" i="7"/>
  <c r="BF26" i="7"/>
  <c r="BF19" i="7"/>
  <c r="D19" i="7" l="1"/>
  <c r="L19" i="98"/>
  <c r="L18" i="98"/>
  <c r="L17" i="98"/>
  <c r="L16" i="98"/>
  <c r="E12" i="98"/>
  <c r="P27" i="98"/>
  <c r="B19" i="98"/>
  <c r="B18" i="98"/>
  <c r="B16" i="98"/>
  <c r="B14" i="98"/>
  <c r="B17" i="98" s="1"/>
  <c r="B11" i="98"/>
  <c r="B7" i="93" l="1"/>
  <c r="B13" i="98"/>
  <c r="L69" i="84"/>
  <c r="U32" i="84"/>
  <c r="T32" i="84"/>
  <c r="S32" i="84"/>
  <c r="R32" i="84"/>
  <c r="Q32" i="84"/>
  <c r="P32" i="84"/>
  <c r="O32" i="84"/>
  <c r="N32" i="84"/>
  <c r="M32" i="84"/>
  <c r="L32" i="84"/>
  <c r="K32" i="84"/>
  <c r="J32" i="84"/>
  <c r="I32" i="84"/>
  <c r="H32" i="84"/>
  <c r="G32" i="84"/>
  <c r="F32" i="84"/>
  <c r="D32" i="84"/>
  <c r="C32" i="84"/>
  <c r="H13" i="84" l="1"/>
  <c r="H12" i="84"/>
  <c r="B29" i="29" l="1"/>
  <c r="B30" i="29"/>
  <c r="B31" i="29"/>
  <c r="B32" i="29"/>
  <c r="B33" i="29"/>
  <c r="B34" i="29"/>
  <c r="B35" i="29"/>
  <c r="B36" i="29"/>
  <c r="B25" i="98" l="1"/>
  <c r="B15" i="98" l="1"/>
  <c r="L15" i="98" l="1"/>
  <c r="O6" i="93" l="1"/>
  <c r="O19" i="93" s="1"/>
  <c r="Y12" i="91"/>
  <c r="Y16" i="91" s="1"/>
  <c r="Y13" i="91"/>
  <c r="Y14" i="91"/>
  <c r="G24" i="7"/>
  <c r="G25" i="7"/>
  <c r="G23" i="7"/>
  <c r="D25" i="7"/>
  <c r="D24" i="7"/>
  <c r="D25" i="52" s="1"/>
  <c r="D33" i="50" l="1"/>
  <c r="B15" i="124" s="1"/>
  <c r="D34" i="50"/>
  <c r="C35" i="29"/>
  <c r="C34" i="29"/>
  <c r="CC23" i="7" l="1"/>
  <c r="AD23" i="7" s="1"/>
  <c r="BY23" i="7"/>
  <c r="BU23" i="7"/>
  <c r="AK23" i="7" s="1"/>
  <c r="AJ23" i="7" s="1"/>
  <c r="BT23" i="7"/>
  <c r="BI23" i="7"/>
  <c r="BG23" i="7"/>
  <c r="BV23" i="7"/>
  <c r="AH23" i="7"/>
  <c r="P23" i="7"/>
  <c r="BK23" i="7" l="1"/>
  <c r="BM23" i="7"/>
  <c r="BJ23" i="7"/>
  <c r="CB23" i="7"/>
  <c r="BO23" i="7" s="1"/>
  <c r="F23" i="7"/>
  <c r="R14" i="84"/>
  <c r="P7" i="93"/>
  <c r="N7" i="93"/>
  <c r="P6" i="93"/>
  <c r="P19" i="93" s="1"/>
  <c r="N6" i="93"/>
  <c r="AA20" i="91"/>
  <c r="AD20" i="91" s="1"/>
  <c r="AB20" i="91"/>
  <c r="N19" i="93" l="1"/>
  <c r="F25" i="7"/>
  <c r="F24" i="7"/>
  <c r="CA23" i="7"/>
  <c r="BX23" i="7" s="1"/>
  <c r="D23" i="7"/>
  <c r="C7" i="84"/>
  <c r="N20" i="93" l="1"/>
  <c r="X23" i="7"/>
  <c r="D24" i="52"/>
  <c r="C33" i="29"/>
  <c r="D32" i="50"/>
  <c r="W23" i="7"/>
  <c r="T74" i="84"/>
  <c r="U74" i="84" s="1"/>
  <c r="R74" i="84"/>
  <c r="S74" i="84" s="1"/>
  <c r="M74" i="84"/>
  <c r="T73" i="84"/>
  <c r="U73" i="84" s="1"/>
  <c r="R73" i="84"/>
  <c r="S73" i="84" s="1"/>
  <c r="M73" i="84"/>
  <c r="T72" i="84"/>
  <c r="U72" i="84" s="1"/>
  <c r="R72" i="84"/>
  <c r="S72" i="84" s="1"/>
  <c r="M72" i="84"/>
  <c r="T71" i="84"/>
  <c r="U71" i="84" s="1"/>
  <c r="R71" i="84"/>
  <c r="S71" i="84" s="1"/>
  <c r="M71" i="84"/>
  <c r="T70" i="84"/>
  <c r="U70" i="84" s="1"/>
  <c r="R70" i="84"/>
  <c r="S70" i="84" s="1"/>
  <c r="M70" i="84"/>
  <c r="T69" i="84"/>
  <c r="U69" i="84" s="1"/>
  <c r="R69" i="84"/>
  <c r="S69" i="84" s="1"/>
  <c r="M69" i="84"/>
  <c r="T68" i="84"/>
  <c r="U68" i="84" s="1"/>
  <c r="R68" i="84"/>
  <c r="S68" i="84" s="1"/>
  <c r="M68" i="84"/>
  <c r="N18" i="7" l="1"/>
  <c r="F26" i="7" l="1"/>
  <c r="D26" i="7"/>
  <c r="L6" i="98"/>
  <c r="B12" i="98" l="1"/>
  <c r="C36" i="29"/>
  <c r="D35" i="50"/>
  <c r="BM20" i="7" l="1"/>
  <c r="BL20" i="7"/>
  <c r="F2" i="52" l="1"/>
  <c r="F3" i="52" l="1"/>
  <c r="AA19" i="91" l="1"/>
  <c r="AB19" i="91" s="1"/>
  <c r="AD19" i="91" s="1"/>
  <c r="AA18" i="91"/>
  <c r="AB18" i="91" s="1"/>
  <c r="AA17" i="91"/>
  <c r="AB17" i="91" s="1"/>
  <c r="AD18" i="91" l="1"/>
  <c r="AE18" i="91"/>
  <c r="AE17" i="91"/>
  <c r="AD17" i="91"/>
  <c r="AE19" i="91"/>
  <c r="P27" i="50" l="1"/>
  <c r="D24" i="124" s="1"/>
  <c r="F5" i="50"/>
  <c r="F4" i="50"/>
  <c r="T66" i="84" l="1"/>
  <c r="U66" i="84" s="1"/>
  <c r="R66" i="84"/>
  <c r="S66" i="84" s="1"/>
  <c r="M66" i="84"/>
  <c r="T63" i="84"/>
  <c r="U63" i="84" s="1"/>
  <c r="R63" i="84"/>
  <c r="S63" i="84" s="1"/>
  <c r="M63" i="84"/>
  <c r="T67" i="84"/>
  <c r="U67" i="84" s="1"/>
  <c r="M67" i="84"/>
  <c r="T64" i="84"/>
  <c r="U64" i="84" s="1"/>
  <c r="R64" i="84"/>
  <c r="S64" i="84" s="1"/>
  <c r="M64" i="84"/>
  <c r="T62" i="84"/>
  <c r="R62" i="84"/>
  <c r="M62" i="84"/>
  <c r="T65" i="84"/>
  <c r="U65" i="84" s="1"/>
  <c r="R65" i="84"/>
  <c r="M65" i="84"/>
  <c r="S62" i="84" l="1"/>
  <c r="U62" i="84"/>
  <c r="U79" i="84" s="1"/>
  <c r="T79" i="84"/>
  <c r="R67" i="84"/>
  <c r="S67" i="84" s="1"/>
  <c r="S65" i="84"/>
  <c r="R79" i="84" l="1"/>
  <c r="S79" i="84"/>
  <c r="W83" i="84" s="1"/>
  <c r="P84" i="84" s="1"/>
  <c r="W79" i="84" l="1"/>
  <c r="R80" i="84"/>
  <c r="P85" i="84"/>
  <c r="BA25" i="7" l="1"/>
  <c r="BA26" i="7"/>
  <c r="BG19" i="7"/>
  <c r="BG20" i="7"/>
  <c r="BG21" i="7"/>
  <c r="BG22" i="7"/>
  <c r="BG24" i="7"/>
  <c r="BG25" i="7"/>
  <c r="BG26" i="7"/>
  <c r="BG18" i="7"/>
  <c r="BF18" i="7" l="1"/>
  <c r="C19" i="52"/>
  <c r="C20" i="52"/>
  <c r="C21" i="52"/>
  <c r="C22" i="52"/>
  <c r="C23" i="52"/>
  <c r="C24" i="52"/>
  <c r="C25" i="52"/>
  <c r="C26" i="52"/>
  <c r="C27" i="52"/>
  <c r="C28" i="52"/>
  <c r="C29" i="52"/>
  <c r="C30" i="52"/>
  <c r="C31" i="52"/>
  <c r="C32" i="52"/>
  <c r="C33" i="52"/>
  <c r="C17" i="52"/>
  <c r="B28" i="29"/>
  <c r="B20" i="29"/>
  <c r="B21" i="29"/>
  <c r="B22" i="29"/>
  <c r="B23" i="29"/>
  <c r="B24" i="29"/>
  <c r="B25" i="29"/>
  <c r="B19" i="29"/>
  <c r="B17" i="29"/>
  <c r="C28" i="50"/>
  <c r="C29" i="50"/>
  <c r="C30" i="50"/>
  <c r="C31" i="50"/>
  <c r="C32" i="50"/>
  <c r="C33" i="50"/>
  <c r="C34" i="50"/>
  <c r="C35" i="50"/>
  <c r="C27" i="50"/>
  <c r="C22" i="50"/>
  <c r="AO33" i="52" l="1"/>
  <c r="AQ33" i="52"/>
  <c r="AJ33" i="52"/>
  <c r="AD33" i="52"/>
  <c r="AQ32" i="52"/>
  <c r="AO32" i="52"/>
  <c r="AD32" i="52"/>
  <c r="AD20" i="52"/>
  <c r="AO20" i="52"/>
  <c r="AQ20" i="52"/>
  <c r="AD21" i="52"/>
  <c r="AO21" i="52"/>
  <c r="AQ21" i="52"/>
  <c r="AD22" i="52"/>
  <c r="AO22" i="52"/>
  <c r="AQ22" i="52"/>
  <c r="AD23" i="52"/>
  <c r="AO23" i="52"/>
  <c r="AQ23" i="52"/>
  <c r="AD24" i="52"/>
  <c r="AO24" i="52"/>
  <c r="AQ24" i="52"/>
  <c r="AD25" i="52"/>
  <c r="AO25" i="52"/>
  <c r="AQ25" i="52"/>
  <c r="AD26" i="52"/>
  <c r="AO26" i="52"/>
  <c r="AQ26" i="52"/>
  <c r="AD27" i="52"/>
  <c r="AO27" i="52"/>
  <c r="AQ27" i="52"/>
  <c r="AD28" i="52"/>
  <c r="AO28" i="52"/>
  <c r="AQ28" i="52"/>
  <c r="AD29" i="52"/>
  <c r="AO29" i="52"/>
  <c r="AQ29" i="52"/>
  <c r="AD30" i="52"/>
  <c r="AO30" i="52"/>
  <c r="AQ30" i="52"/>
  <c r="AD31" i="52"/>
  <c r="AO31" i="52"/>
  <c r="AQ31" i="52"/>
  <c r="C33" i="98"/>
  <c r="B33" i="98"/>
  <c r="L7" i="98"/>
  <c r="Q26" i="10" l="1"/>
  <c r="Q27" i="10"/>
  <c r="Q28" i="10"/>
  <c r="Q29" i="10"/>
  <c r="Q30" i="10"/>
  <c r="Q31" i="10"/>
  <c r="Q32" i="10"/>
  <c r="Q33" i="10"/>
  <c r="Q34" i="10"/>
  <c r="Q35" i="10"/>
  <c r="Q36" i="10"/>
  <c r="Q25" i="10"/>
  <c r="O26" i="10"/>
  <c r="O27" i="10"/>
  <c r="O28" i="10"/>
  <c r="O29" i="10"/>
  <c r="O30" i="10"/>
  <c r="O31" i="10"/>
  <c r="O32" i="10"/>
  <c r="O33" i="10"/>
  <c r="O34" i="10"/>
  <c r="O35" i="10"/>
  <c r="O36" i="10"/>
  <c r="O25" i="10"/>
  <c r="K74" i="10"/>
  <c r="BE30" i="29"/>
  <c r="BE31" i="29"/>
  <c r="BE32" i="29"/>
  <c r="BE33" i="29"/>
  <c r="BE34" i="29"/>
  <c r="BE35" i="29"/>
  <c r="BE36" i="29"/>
  <c r="AC16" i="91"/>
  <c r="AA16" i="91" l="1"/>
  <c r="AB16" i="91" s="1"/>
  <c r="O7" i="93"/>
  <c r="AE16" i="91"/>
  <c r="AD16" i="91"/>
  <c r="T6" i="93" l="1"/>
  <c r="AA15" i="91"/>
  <c r="AB15" i="91" s="1"/>
  <c r="AE15" i="91" s="1"/>
  <c r="AD15" i="91" l="1"/>
  <c r="L35" i="7" l="1"/>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34" i="7"/>
  <c r="V34" i="7"/>
  <c r="P39" i="7"/>
  <c r="P40" i="7"/>
  <c r="P41" i="7"/>
  <c r="P42" i="7"/>
  <c r="P43" i="7"/>
  <c r="P35" i="7"/>
  <c r="P36" i="7"/>
  <c r="P37" i="7"/>
  <c r="P38" i="7"/>
  <c r="P34" i="7"/>
  <c r="M28" i="50"/>
  <c r="AC28" i="50"/>
  <c r="M29" i="50"/>
  <c r="AC29" i="50"/>
  <c r="M30" i="50"/>
  <c r="AC30" i="50"/>
  <c r="M31" i="50"/>
  <c r="AC31" i="50"/>
  <c r="M32" i="50"/>
  <c r="AC32" i="50"/>
  <c r="M33" i="50"/>
  <c r="AC33" i="50"/>
  <c r="M34" i="50"/>
  <c r="AC34" i="50"/>
  <c r="M35" i="50"/>
  <c r="AC35" i="50"/>
  <c r="P19" i="7"/>
  <c r="AH19" i="7"/>
  <c r="BI19" i="7"/>
  <c r="BT19" i="7"/>
  <c r="BU19" i="7"/>
  <c r="BV19" i="7"/>
  <c r="BY19" i="7"/>
  <c r="CC19" i="7"/>
  <c r="AD19" i="7" s="1"/>
  <c r="P20" i="7"/>
  <c r="AH20" i="7"/>
  <c r="BI20" i="7"/>
  <c r="BT20" i="7"/>
  <c r="BU20" i="7"/>
  <c r="BV20" i="7"/>
  <c r="BY20" i="7"/>
  <c r="CC20" i="7"/>
  <c r="AD20" i="7" s="1"/>
  <c r="P21" i="7"/>
  <c r="AH21" i="7"/>
  <c r="BI21" i="7"/>
  <c r="BT21" i="7"/>
  <c r="BU21" i="7"/>
  <c r="BJ21" i="7" s="1"/>
  <c r="BV21" i="7"/>
  <c r="BY21" i="7"/>
  <c r="CC21" i="7"/>
  <c r="AD21" i="7" s="1"/>
  <c r="P22" i="7"/>
  <c r="AH22" i="7"/>
  <c r="BI22" i="7"/>
  <c r="BT22" i="7"/>
  <c r="BU22" i="7"/>
  <c r="BJ22" i="7" s="1"/>
  <c r="BV22" i="7"/>
  <c r="BY22" i="7"/>
  <c r="CC22" i="7"/>
  <c r="AD22" i="7" s="1"/>
  <c r="P24" i="7"/>
  <c r="W24" i="7"/>
  <c r="AH24" i="7"/>
  <c r="BI24" i="7"/>
  <c r="BT24" i="7"/>
  <c r="BU24" i="7"/>
  <c r="BJ24" i="7" s="1"/>
  <c r="BV24" i="7"/>
  <c r="BY24" i="7"/>
  <c r="CC24" i="7"/>
  <c r="AD24" i="7" s="1"/>
  <c r="P25" i="7"/>
  <c r="W25" i="7"/>
  <c r="AH25" i="7"/>
  <c r="BI25" i="7"/>
  <c r="BT25" i="7"/>
  <c r="BU25" i="7"/>
  <c r="BM25" i="7" s="1"/>
  <c r="BV25" i="7"/>
  <c r="BY25" i="7"/>
  <c r="CC25" i="7"/>
  <c r="AD25" i="7" s="1"/>
  <c r="P26" i="7"/>
  <c r="W26" i="7"/>
  <c r="AH26" i="7"/>
  <c r="BI26" i="7"/>
  <c r="BT26" i="7"/>
  <c r="BU26" i="7"/>
  <c r="BJ26" i="7" s="1"/>
  <c r="BV26" i="7"/>
  <c r="BY26" i="7"/>
  <c r="CC26" i="7"/>
  <c r="AD26" i="7" s="1"/>
  <c r="L10" i="98"/>
  <c r="P86" i="84" l="1"/>
  <c r="BM19" i="7"/>
  <c r="BK26" i="7"/>
  <c r="AK24" i="7"/>
  <c r="AJ24" i="7" s="1"/>
  <c r="BK22" i="7"/>
  <c r="AK22" i="7"/>
  <c r="AJ22" i="7" s="1"/>
  <c r="AK21" i="7"/>
  <c r="AJ21" i="7" s="1"/>
  <c r="BK19" i="7"/>
  <c r="BK25" i="7"/>
  <c r="BK20" i="7"/>
  <c r="BJ19" i="7"/>
  <c r="BK21" i="7"/>
  <c r="CB20" i="7"/>
  <c r="BO20" i="7" s="1"/>
  <c r="BJ20" i="7"/>
  <c r="CB19" i="7"/>
  <c r="BO19" i="7" s="1"/>
  <c r="AK20" i="7"/>
  <c r="AJ20" i="7" s="1"/>
  <c r="BK24" i="7"/>
  <c r="CB22" i="7"/>
  <c r="CB21" i="7"/>
  <c r="BO21" i="7" s="1"/>
  <c r="CB25" i="7"/>
  <c r="BM21" i="7"/>
  <c r="BJ25" i="7"/>
  <c r="BM24" i="7"/>
  <c r="AK26" i="7"/>
  <c r="AJ26" i="7" s="1"/>
  <c r="CB24" i="7"/>
  <c r="BM26" i="7"/>
  <c r="CB26" i="7"/>
  <c r="BM22" i="7"/>
  <c r="AK19" i="7"/>
  <c r="AJ19" i="7" s="1"/>
  <c r="AK25" i="7"/>
  <c r="AJ25" i="7" s="1"/>
  <c r="P88" i="84" l="1"/>
  <c r="O89" i="84"/>
  <c r="BO22" i="7"/>
  <c r="CA22" i="7"/>
  <c r="BX22" i="7" s="1"/>
  <c r="CA21" i="7"/>
  <c r="BX21" i="7" s="1"/>
  <c r="CA19" i="7"/>
  <c r="BX19" i="7" s="1"/>
  <c r="CA20" i="7"/>
  <c r="BX20" i="7" s="1"/>
  <c r="CA24" i="7"/>
  <c r="BX24" i="7" s="1"/>
  <c r="BO24" i="7"/>
  <c r="CA26" i="7"/>
  <c r="BX26" i="7" s="1"/>
  <c r="BO26" i="7"/>
  <c r="BO25" i="7"/>
  <c r="CA25" i="7"/>
  <c r="BX25" i="7" s="1"/>
  <c r="L59" i="98"/>
  <c r="C89" i="98"/>
  <c r="C90" i="98"/>
  <c r="C91" i="98"/>
  <c r="C92" i="98"/>
  <c r="C93" i="98"/>
  <c r="C94" i="98"/>
  <c r="C95" i="98"/>
  <c r="C96" i="98"/>
  <c r="C97" i="98"/>
  <c r="C98" i="98"/>
  <c r="C99" i="98"/>
  <c r="C81" i="98"/>
  <c r="C82" i="98"/>
  <c r="C83" i="98"/>
  <c r="C84" i="98"/>
  <c r="C85" i="98"/>
  <c r="C86" i="98"/>
  <c r="C87" i="98"/>
  <c r="C88" i="98"/>
  <c r="B89" i="98"/>
  <c r="B90" i="98"/>
  <c r="B91" i="98"/>
  <c r="B92" i="98"/>
  <c r="B93" i="98"/>
  <c r="B94" i="98"/>
  <c r="B95" i="98"/>
  <c r="B96" i="98"/>
  <c r="B97" i="98"/>
  <c r="B98" i="98"/>
  <c r="B99" i="98"/>
  <c r="B86" i="98"/>
  <c r="B87" i="98"/>
  <c r="B88" i="98"/>
  <c r="B81" i="98"/>
  <c r="B82" i="98"/>
  <c r="B83" i="98"/>
  <c r="B84" i="98"/>
  <c r="B85" i="98"/>
  <c r="B60" i="98"/>
  <c r="B61" i="98"/>
  <c r="B62" i="98"/>
  <c r="B63" i="98"/>
  <c r="B64" i="98"/>
  <c r="B65" i="98"/>
  <c r="B66" i="98"/>
  <c r="B67" i="98"/>
  <c r="B68" i="98"/>
  <c r="B69" i="98"/>
  <c r="B70" i="98"/>
  <c r="B71" i="98"/>
  <c r="B72" i="98"/>
  <c r="B73" i="98"/>
  <c r="B74" i="98"/>
  <c r="B75" i="98"/>
  <c r="B76" i="98"/>
  <c r="B77" i="98"/>
  <c r="B78" i="98"/>
  <c r="B59" i="98"/>
  <c r="L88" i="98"/>
  <c r="L87" i="98"/>
  <c r="L86" i="98"/>
  <c r="L85" i="98"/>
  <c r="L84" i="98"/>
  <c r="L83" i="98"/>
  <c r="C80" i="98"/>
  <c r="B80" i="98"/>
  <c r="L82" i="98"/>
  <c r="L81" i="98"/>
  <c r="L80" i="98"/>
  <c r="C68" i="98"/>
  <c r="C69" i="98"/>
  <c r="C70" i="98"/>
  <c r="C71" i="98"/>
  <c r="C72" i="98"/>
  <c r="C73" i="98"/>
  <c r="C74" i="98"/>
  <c r="C75" i="98"/>
  <c r="C76" i="98"/>
  <c r="C77" i="98"/>
  <c r="C78" i="98"/>
  <c r="C67" i="98"/>
  <c r="C66" i="98"/>
  <c r="C65" i="98"/>
  <c r="C64" i="98"/>
  <c r="C63" i="98"/>
  <c r="C62" i="98"/>
  <c r="C61" i="98"/>
  <c r="C60" i="98"/>
  <c r="C59" i="98"/>
  <c r="B35" i="98" l="1"/>
  <c r="K85" i="10"/>
  <c r="C35" i="98"/>
  <c r="L35" i="98"/>
  <c r="C42" i="98"/>
  <c r="C43" i="98"/>
  <c r="C44" i="98"/>
  <c r="C45" i="98"/>
  <c r="C46" i="98"/>
  <c r="C47" i="98"/>
  <c r="C48" i="98"/>
  <c r="C49" i="98"/>
  <c r="C50" i="98"/>
  <c r="C51" i="98"/>
  <c r="C52" i="98"/>
  <c r="C53" i="98"/>
  <c r="C54" i="98"/>
  <c r="C55" i="98"/>
  <c r="C56" i="98"/>
  <c r="B42" i="98"/>
  <c r="B43" i="98"/>
  <c r="B44" i="98"/>
  <c r="B45" i="98"/>
  <c r="B46" i="98"/>
  <c r="B47" i="98"/>
  <c r="B48" i="98"/>
  <c r="B49" i="98"/>
  <c r="B50" i="98"/>
  <c r="B51" i="98"/>
  <c r="B52" i="98"/>
  <c r="B53" i="98"/>
  <c r="B54" i="98"/>
  <c r="B55" i="98"/>
  <c r="B56" i="98"/>
  <c r="C34" i="98"/>
  <c r="B23" i="98"/>
  <c r="B24" i="98"/>
  <c r="B26" i="98"/>
  <c r="B27" i="98"/>
  <c r="B28" i="98"/>
  <c r="B29" i="98"/>
  <c r="B30" i="98"/>
  <c r="B31" i="98"/>
  <c r="B32" i="98"/>
  <c r="B34" i="98"/>
  <c r="C23" i="98"/>
  <c r="C24" i="98"/>
  <c r="C25" i="98"/>
  <c r="C26" i="98"/>
  <c r="C27" i="98"/>
  <c r="C28" i="98"/>
  <c r="C29" i="98"/>
  <c r="C30" i="98"/>
  <c r="C31" i="98"/>
  <c r="C32" i="98"/>
  <c r="D20" i="7"/>
  <c r="W20" i="7" s="1"/>
  <c r="D22" i="7"/>
  <c r="L34" i="98"/>
  <c r="D18" i="7"/>
  <c r="D18" i="34"/>
  <c r="W19" i="7" l="1"/>
  <c r="D32" i="52"/>
  <c r="D31" i="52"/>
  <c r="X22" i="7"/>
  <c r="W22" i="7"/>
  <c r="D28" i="52"/>
  <c r="C18" i="7"/>
  <c r="D26" i="52"/>
  <c r="D29" i="52"/>
  <c r="D30" i="52"/>
  <c r="C20" i="7"/>
  <c r="CD20" i="7" s="1"/>
  <c r="C19" i="7"/>
  <c r="CD19" i="7" s="1"/>
  <c r="C18" i="34"/>
  <c r="V18" i="34" s="1"/>
  <c r="D20" i="52"/>
  <c r="X19" i="7"/>
  <c r="D28" i="50"/>
  <c r="J28" i="50" s="1"/>
  <c r="C28" i="29"/>
  <c r="D29" i="50"/>
  <c r="Z29" i="50" s="1"/>
  <c r="C30" i="29"/>
  <c r="K30" i="29" s="1"/>
  <c r="X20" i="7"/>
  <c r="F20" i="7"/>
  <c r="F19" i="7"/>
  <c r="D31" i="50"/>
  <c r="C32" i="29"/>
  <c r="F22" i="7"/>
  <c r="D21" i="7"/>
  <c r="W21" i="7" s="1"/>
  <c r="F21" i="7"/>
  <c r="X24" i="7"/>
  <c r="D23" i="52"/>
  <c r="C29" i="29"/>
  <c r="AZ29" i="29" s="1"/>
  <c r="D21" i="52"/>
  <c r="AA21" i="52" s="1"/>
  <c r="D33" i="52"/>
  <c r="D27" i="50"/>
  <c r="D19" i="52"/>
  <c r="K75" i="10"/>
  <c r="K76" i="10"/>
  <c r="K77" i="10"/>
  <c r="K78" i="10"/>
  <c r="K79" i="10"/>
  <c r="K80" i="10"/>
  <c r="K81" i="10"/>
  <c r="K82" i="10"/>
  <c r="K83" i="10"/>
  <c r="K84" i="10"/>
  <c r="J75" i="10"/>
  <c r="J76" i="10"/>
  <c r="J77" i="10"/>
  <c r="J78" i="10"/>
  <c r="J79" i="10"/>
  <c r="J80" i="10"/>
  <c r="J81" i="10"/>
  <c r="J82" i="10"/>
  <c r="J83" i="10"/>
  <c r="J84" i="10"/>
  <c r="J85" i="10"/>
  <c r="J74" i="10"/>
  <c r="I75" i="10"/>
  <c r="I76" i="10"/>
  <c r="I77" i="10"/>
  <c r="I78" i="10"/>
  <c r="I79" i="10"/>
  <c r="I80" i="10"/>
  <c r="I81" i="10"/>
  <c r="I82" i="10"/>
  <c r="I83" i="10"/>
  <c r="I84" i="10"/>
  <c r="I85" i="10"/>
  <c r="I74" i="10"/>
  <c r="N25" i="10"/>
  <c r="F18" i="34"/>
  <c r="B54" i="84"/>
  <c r="L142" i="98"/>
  <c r="L141" i="98"/>
  <c r="L140" i="98"/>
  <c r="L139" i="98"/>
  <c r="L138" i="98"/>
  <c r="L137" i="98"/>
  <c r="L136" i="98"/>
  <c r="L135" i="98"/>
  <c r="L134" i="98"/>
  <c r="L133" i="98"/>
  <c r="L132" i="98"/>
  <c r="L131" i="98"/>
  <c r="L130" i="98"/>
  <c r="L129" i="98"/>
  <c r="L128" i="98"/>
  <c r="L127" i="98"/>
  <c r="L126" i="98"/>
  <c r="L125" i="98"/>
  <c r="L124" i="98"/>
  <c r="L123" i="98"/>
  <c r="L99" i="98"/>
  <c r="L98" i="98"/>
  <c r="L97" i="98"/>
  <c r="L96" i="98"/>
  <c r="L95" i="98"/>
  <c r="L94" i="98"/>
  <c r="L93" i="98"/>
  <c r="L92" i="98"/>
  <c r="L91" i="98"/>
  <c r="L90" i="98"/>
  <c r="L89" i="98"/>
  <c r="L56" i="98"/>
  <c r="L55" i="98"/>
  <c r="L54" i="98"/>
  <c r="L53" i="98"/>
  <c r="L52" i="98"/>
  <c r="L51" i="98"/>
  <c r="L50" i="98"/>
  <c r="L49" i="98"/>
  <c r="L48" i="98"/>
  <c r="L47" i="98"/>
  <c r="L46" i="98"/>
  <c r="L45" i="98"/>
  <c r="L44" i="98"/>
  <c r="L43" i="98"/>
  <c r="L42" i="98"/>
  <c r="L41" i="98"/>
  <c r="L40" i="98"/>
  <c r="L39" i="98"/>
  <c r="L38" i="98"/>
  <c r="L37" i="98"/>
  <c r="L11" i="98"/>
  <c r="G19" i="7" s="1"/>
  <c r="B121" i="98"/>
  <c r="L121" i="98"/>
  <c r="B120" i="98"/>
  <c r="L120" i="98"/>
  <c r="B117" i="98"/>
  <c r="L117" i="98"/>
  <c r="B118" i="98"/>
  <c r="L118" i="98"/>
  <c r="B119" i="98"/>
  <c r="L119" i="98"/>
  <c r="B114" i="98"/>
  <c r="L114" i="98"/>
  <c r="B115" i="98"/>
  <c r="L115" i="98"/>
  <c r="B116" i="98"/>
  <c r="L116" i="98"/>
  <c r="B103" i="98"/>
  <c r="L103" i="98"/>
  <c r="B104" i="98"/>
  <c r="L104" i="98"/>
  <c r="B105" i="98"/>
  <c r="L105" i="98"/>
  <c r="B106" i="98"/>
  <c r="L106" i="98"/>
  <c r="B107" i="98"/>
  <c r="L107" i="98"/>
  <c r="B108" i="98"/>
  <c r="L108" i="98"/>
  <c r="B109" i="98"/>
  <c r="L109" i="98"/>
  <c r="B110" i="98"/>
  <c r="L110" i="98"/>
  <c r="B111" i="98"/>
  <c r="L111" i="98"/>
  <c r="B112" i="98"/>
  <c r="L112" i="98"/>
  <c r="B113" i="98"/>
  <c r="L113" i="98"/>
  <c r="B102" i="98"/>
  <c r="L60" i="98"/>
  <c r="L61" i="98"/>
  <c r="L62" i="98"/>
  <c r="L63" i="98"/>
  <c r="L64" i="98"/>
  <c r="L65" i="98"/>
  <c r="L66" i="98"/>
  <c r="L67" i="98"/>
  <c r="L68" i="98"/>
  <c r="L69" i="98"/>
  <c r="L70" i="98"/>
  <c r="L71" i="98"/>
  <c r="L72" i="98"/>
  <c r="L73" i="98"/>
  <c r="L74" i="98"/>
  <c r="L75" i="98"/>
  <c r="L76" i="98"/>
  <c r="L77" i="98"/>
  <c r="L78" i="98"/>
  <c r="L102" i="98"/>
  <c r="L33" i="98"/>
  <c r="L23" i="98"/>
  <c r="L24" i="98"/>
  <c r="L25" i="98"/>
  <c r="L26" i="98"/>
  <c r="L27" i="98"/>
  <c r="L28" i="98"/>
  <c r="L29" i="98"/>
  <c r="L30" i="98"/>
  <c r="L31" i="98"/>
  <c r="L32" i="98"/>
  <c r="L101" i="98"/>
  <c r="L58" i="98"/>
  <c r="B58" i="98"/>
  <c r="B101" i="98"/>
  <c r="L8" i="98"/>
  <c r="U18" i="34"/>
  <c r="K7" i="93"/>
  <c r="K6" i="93"/>
  <c r="Z12" i="91"/>
  <c r="Q6" i="93" l="1"/>
  <c r="S12" i="84" s="1"/>
  <c r="K19" i="93"/>
  <c r="K34" i="29"/>
  <c r="K36" i="29"/>
  <c r="K33" i="29"/>
  <c r="K35" i="29"/>
  <c r="K32" i="29"/>
  <c r="K29" i="29"/>
  <c r="E32" i="50"/>
  <c r="F34" i="50"/>
  <c r="E33" i="50"/>
  <c r="F33" i="50"/>
  <c r="E34" i="50"/>
  <c r="C23" i="7"/>
  <c r="CD23" i="7" s="1"/>
  <c r="Z28" i="50"/>
  <c r="R28" i="50"/>
  <c r="B21" i="124" s="1"/>
  <c r="D27" i="52"/>
  <c r="I27" i="52" s="1"/>
  <c r="E29" i="50"/>
  <c r="R29" i="50"/>
  <c r="B22" i="124" s="1"/>
  <c r="H29" i="50"/>
  <c r="T28" i="50"/>
  <c r="J29" i="50"/>
  <c r="I28" i="50"/>
  <c r="U31" i="50"/>
  <c r="Z31" i="50"/>
  <c r="O31" i="52"/>
  <c r="AA24" i="52"/>
  <c r="Z33" i="52"/>
  <c r="U32" i="50"/>
  <c r="Z23" i="52"/>
  <c r="U28" i="50"/>
  <c r="AB28" i="50"/>
  <c r="H28" i="50"/>
  <c r="F28" i="50"/>
  <c r="E28" i="50"/>
  <c r="Y28" i="50"/>
  <c r="E31" i="52"/>
  <c r="O28" i="52"/>
  <c r="AX28" i="52" s="1"/>
  <c r="AG26" i="52"/>
  <c r="BZ26" i="52" s="1"/>
  <c r="T29" i="50"/>
  <c r="O30" i="52"/>
  <c r="I30" i="52"/>
  <c r="Z30" i="52"/>
  <c r="N30" i="52" s="1"/>
  <c r="AG32" i="52"/>
  <c r="BZ32" i="52" s="1"/>
  <c r="AB29" i="50"/>
  <c r="U29" i="50"/>
  <c r="H29" i="52"/>
  <c r="AE31" i="52"/>
  <c r="AR31" i="52" s="1" a="1"/>
  <c r="AR31" i="52" s="1"/>
  <c r="Z28" i="52"/>
  <c r="N28" i="52" s="1"/>
  <c r="AE32" i="52"/>
  <c r="C24" i="7"/>
  <c r="CD24" i="7" s="1"/>
  <c r="C21" i="7"/>
  <c r="CD21" i="7" s="1"/>
  <c r="I29" i="50"/>
  <c r="Y29" i="50"/>
  <c r="E26" i="52"/>
  <c r="AE30" i="52"/>
  <c r="P30" i="52" s="1"/>
  <c r="Z26" i="52"/>
  <c r="N26" i="52" s="1"/>
  <c r="C26" i="7"/>
  <c r="CD26" i="7" s="1"/>
  <c r="I28" i="52"/>
  <c r="G30" i="52"/>
  <c r="F32" i="52"/>
  <c r="C22" i="7"/>
  <c r="CD22" i="7" s="1"/>
  <c r="J32" i="50"/>
  <c r="AG28" i="52"/>
  <c r="BY28" i="52" s="1"/>
  <c r="Z29" i="52"/>
  <c r="N29" i="52" s="1"/>
  <c r="O32" i="52"/>
  <c r="C25" i="7"/>
  <c r="CD25" i="7" s="1"/>
  <c r="E30" i="52"/>
  <c r="G32" i="52"/>
  <c r="Z21" i="52"/>
  <c r="AE23" i="52"/>
  <c r="AE21" i="52"/>
  <c r="AF21" i="52" s="1"/>
  <c r="AG21" i="52"/>
  <c r="BZ21" i="52" s="1"/>
  <c r="AA23" i="52"/>
  <c r="H31" i="50"/>
  <c r="C19" i="34"/>
  <c r="AA32" i="52"/>
  <c r="G29" i="52"/>
  <c r="AE33" i="52"/>
  <c r="AG24" i="52"/>
  <c r="BZ24" i="52" s="1"/>
  <c r="AE29" i="52"/>
  <c r="AB29" i="52" s="1"/>
  <c r="H31" i="52"/>
  <c r="G26" i="52"/>
  <c r="H26" i="52"/>
  <c r="H30" i="52"/>
  <c r="AG23" i="52"/>
  <c r="BZ23" i="52" s="1"/>
  <c r="AE28" i="52"/>
  <c r="AR28" i="52" s="1" a="1"/>
  <c r="AR28" i="52" s="1"/>
  <c r="AA30" i="52"/>
  <c r="AA28" i="52"/>
  <c r="H32" i="52"/>
  <c r="Z32" i="52"/>
  <c r="N32" i="52" s="1"/>
  <c r="I29" i="52"/>
  <c r="E28" i="52"/>
  <c r="AA31" i="52"/>
  <c r="I26" i="52"/>
  <c r="O29" i="52"/>
  <c r="E29" i="52"/>
  <c r="G28" i="52"/>
  <c r="H28" i="52"/>
  <c r="I31" i="52"/>
  <c r="AG31" i="52"/>
  <c r="AW31" i="52" s="1"/>
  <c r="Z31" i="52"/>
  <c r="N31" i="52" s="1"/>
  <c r="AA33" i="52"/>
  <c r="Z24" i="52"/>
  <c r="O26" i="52"/>
  <c r="AZ26" i="52" s="1"/>
  <c r="AA29" i="52"/>
  <c r="AG30" i="52"/>
  <c r="BZ30" i="52" s="1"/>
  <c r="AE26" i="52"/>
  <c r="AP26" i="52" s="1" a="1"/>
  <c r="AP26" i="52" s="1"/>
  <c r="E32" i="52"/>
  <c r="H35" i="50"/>
  <c r="G31" i="52"/>
  <c r="AA26" i="52"/>
  <c r="AG29" i="52"/>
  <c r="BZ29" i="52" s="1"/>
  <c r="AE24" i="52"/>
  <c r="I32" i="52"/>
  <c r="Z20" i="52"/>
  <c r="AA20" i="52"/>
  <c r="AE20" i="52"/>
  <c r="AG20" i="52"/>
  <c r="I32" i="50"/>
  <c r="Y35" i="50"/>
  <c r="F29" i="50"/>
  <c r="F32" i="50"/>
  <c r="Y32" i="50"/>
  <c r="J35" i="50"/>
  <c r="AB31" i="50"/>
  <c r="I31" i="50"/>
  <c r="T32" i="50"/>
  <c r="T31" i="50"/>
  <c r="H32" i="50"/>
  <c r="Y31" i="50"/>
  <c r="E31" i="50"/>
  <c r="T35" i="50"/>
  <c r="Z35" i="50"/>
  <c r="U35" i="50"/>
  <c r="I35" i="50"/>
  <c r="F31" i="50"/>
  <c r="J31" i="50"/>
  <c r="F35" i="50"/>
  <c r="E35" i="50"/>
  <c r="Z32" i="50"/>
  <c r="AZ33" i="29"/>
  <c r="BM33" i="29" s="1"/>
  <c r="BN33" i="29" s="1"/>
  <c r="AX34" i="29"/>
  <c r="AZ36" i="29"/>
  <c r="BM36" i="29" s="1"/>
  <c r="BN36" i="29" s="1"/>
  <c r="AX33" i="29"/>
  <c r="F34" i="29"/>
  <c r="D30" i="50"/>
  <c r="C31" i="29"/>
  <c r="K31" i="29" s="1"/>
  <c r="X21" i="7"/>
  <c r="R31" i="50" s="1"/>
  <c r="B6" i="124" s="1"/>
  <c r="F33" i="29"/>
  <c r="AW33" i="29"/>
  <c r="BH36" i="29"/>
  <c r="BI36" i="29" s="1"/>
  <c r="BH34" i="29"/>
  <c r="BI34" i="29" s="1"/>
  <c r="AX36" i="29"/>
  <c r="BJ33" i="29"/>
  <c r="AW34" i="29"/>
  <c r="AZ34" i="29"/>
  <c r="BM34" i="29" s="1"/>
  <c r="BN34" i="29" s="1"/>
  <c r="AX35" i="29"/>
  <c r="BJ36" i="29"/>
  <c r="F36" i="29"/>
  <c r="BJ35" i="29"/>
  <c r="AW35" i="29"/>
  <c r="AW36" i="29"/>
  <c r="F30" i="29"/>
  <c r="AW30" i="29"/>
  <c r="AZ30" i="29"/>
  <c r="BM30" i="29" s="1"/>
  <c r="BN30" i="29" s="1"/>
  <c r="AX30" i="29"/>
  <c r="AY30" i="29"/>
  <c r="BA30" i="29" s="1"/>
  <c r="BJ30" i="29"/>
  <c r="BH30" i="29"/>
  <c r="BI30" i="29" s="1"/>
  <c r="BH32" i="29"/>
  <c r="BI32" i="29" s="1"/>
  <c r="AZ32" i="29"/>
  <c r="BM32" i="29" s="1"/>
  <c r="BN32" i="29" s="1"/>
  <c r="BJ32" i="29"/>
  <c r="AX32" i="29"/>
  <c r="AW32" i="29"/>
  <c r="AA32" i="29" s="1"/>
  <c r="AY32" i="29"/>
  <c r="BA32" i="29" s="1"/>
  <c r="F32" i="29"/>
  <c r="BH33" i="29"/>
  <c r="BI33" i="29" s="1"/>
  <c r="BH35" i="29"/>
  <c r="BI35" i="29" s="1"/>
  <c r="BJ34" i="29"/>
  <c r="AZ35" i="29"/>
  <c r="BM35" i="29" s="1"/>
  <c r="BN35" i="29" s="1"/>
  <c r="F35" i="29"/>
  <c r="X26" i="7"/>
  <c r="X25" i="7"/>
  <c r="S28" i="50"/>
  <c r="O33" i="52"/>
  <c r="H33" i="52"/>
  <c r="F33" i="52"/>
  <c r="I33" i="52"/>
  <c r="E33" i="52"/>
  <c r="G33" i="52"/>
  <c r="D22" i="52"/>
  <c r="AH6" i="93"/>
  <c r="AS6" i="93"/>
  <c r="M31" i="84" l="1"/>
  <c r="L31" i="84"/>
  <c r="AA34" i="29"/>
  <c r="AA36" i="29"/>
  <c r="AA33" i="29"/>
  <c r="AA30" i="29"/>
  <c r="AA35" i="29"/>
  <c r="H27" i="52"/>
  <c r="AA27" i="52"/>
  <c r="AG27" i="52"/>
  <c r="AW27" i="52" s="1"/>
  <c r="Z27" i="52"/>
  <c r="N27" i="52" s="1"/>
  <c r="AE27" i="52"/>
  <c r="AF27" i="52" s="1"/>
  <c r="AK27" i="52" s="1"/>
  <c r="O27" i="52"/>
  <c r="AZ27" i="52" s="1"/>
  <c r="G27" i="52"/>
  <c r="E27" i="52"/>
  <c r="R32" i="50"/>
  <c r="B7" i="124" s="1"/>
  <c r="AX31" i="52"/>
  <c r="AY31" i="52" s="1"/>
  <c r="AX30" i="52"/>
  <c r="AY30" i="52" s="1"/>
  <c r="AZ30" i="52"/>
  <c r="AC30" i="52"/>
  <c r="BY26" i="52"/>
  <c r="CA26" i="52" s="1"/>
  <c r="AW26" i="52"/>
  <c r="AZ31" i="52"/>
  <c r="R35" i="50"/>
  <c r="B10" i="124" s="1"/>
  <c r="AW28" i="52"/>
  <c r="AH26" i="52"/>
  <c r="AZ28" i="52"/>
  <c r="AP30" i="52" a="1"/>
  <c r="AP30" i="52" s="1"/>
  <c r="BQ30" i="52" s="1"/>
  <c r="AF30" i="52"/>
  <c r="AK30" i="52" s="1"/>
  <c r="AR21" i="52" a="1"/>
  <c r="AR21" i="52" s="1"/>
  <c r="BU21" i="52" s="1"/>
  <c r="AB30" i="52"/>
  <c r="AP21" i="52" a="1"/>
  <c r="AP21" i="52" s="1"/>
  <c r="BR21" i="52" s="1"/>
  <c r="AW32" i="52"/>
  <c r="BI31" i="52"/>
  <c r="BY32" i="52"/>
  <c r="CA32" i="52" s="1"/>
  <c r="AB31" i="52"/>
  <c r="BZ28" i="52"/>
  <c r="CA28" i="52" s="1"/>
  <c r="AF31" i="52"/>
  <c r="AM31" i="52" s="1"/>
  <c r="AC21" i="52"/>
  <c r="P31" i="52"/>
  <c r="AW21" i="52"/>
  <c r="BJ31" i="52"/>
  <c r="AH21" i="52"/>
  <c r="AC31" i="52"/>
  <c r="BY21" i="52"/>
  <c r="CA21" i="52" s="1"/>
  <c r="AP31" i="52" a="1"/>
  <c r="AP31" i="52" s="1"/>
  <c r="BQ31" i="52" s="1"/>
  <c r="AF32" i="52"/>
  <c r="AX32" i="52"/>
  <c r="AY32" i="52" s="1"/>
  <c r="AC32" i="52"/>
  <c r="AZ32" i="52"/>
  <c r="P32" i="52"/>
  <c r="AR30" i="52" a="1"/>
  <c r="AR30" i="52" s="1"/>
  <c r="BV30" i="52" s="1"/>
  <c r="BI30" i="52"/>
  <c r="BJ30" i="52"/>
  <c r="AH28" i="52"/>
  <c r="AF23" i="52"/>
  <c r="AR23" i="52" s="1" a="1"/>
  <c r="AR23" i="52" s="1"/>
  <c r="AC23" i="52"/>
  <c r="AC33" i="52"/>
  <c r="AW29" i="52"/>
  <c r="AC29" i="52"/>
  <c r="AF29" i="52"/>
  <c r="AM29" i="52" s="1"/>
  <c r="AR26" i="52" a="1"/>
  <c r="AR26" i="52" s="1"/>
  <c r="BU26" i="52" s="1"/>
  <c r="AF26" i="52"/>
  <c r="AM26" i="52" s="1"/>
  <c r="AW23" i="52"/>
  <c r="BJ28" i="52"/>
  <c r="P26" i="52"/>
  <c r="AH23" i="52"/>
  <c r="BJ26" i="52"/>
  <c r="BY23" i="52"/>
  <c r="CA23" i="52" s="1"/>
  <c r="BI28" i="52"/>
  <c r="AY28" i="52"/>
  <c r="AH29" i="52"/>
  <c r="AC26" i="52"/>
  <c r="BY29" i="52"/>
  <c r="CA29" i="52" s="1"/>
  <c r="BI26" i="52"/>
  <c r="AB26" i="52"/>
  <c r="AC28" i="52"/>
  <c r="AP28" i="52" a="1"/>
  <c r="AP28" i="52" s="1"/>
  <c r="BR28" i="52" s="1"/>
  <c r="AF28" i="52"/>
  <c r="AM28" i="52" s="1"/>
  <c r="AB28" i="52"/>
  <c r="P28" i="52"/>
  <c r="AP29" i="52" a="1"/>
  <c r="AP29" i="52" s="1"/>
  <c r="BQ29" i="52" s="1"/>
  <c r="BJ29" i="52"/>
  <c r="AR29" i="52" a="1"/>
  <c r="AR29" i="52" s="1"/>
  <c r="BV29" i="52" s="1"/>
  <c r="BI29" i="52"/>
  <c r="P29" i="52"/>
  <c r="BY30" i="52"/>
  <c r="CA30" i="52" s="1"/>
  <c r="AW30" i="52"/>
  <c r="AH30" i="52"/>
  <c r="AZ29" i="52"/>
  <c r="AF24" i="52"/>
  <c r="AX29" i="52"/>
  <c r="AY29" i="52" s="1"/>
  <c r="BY24" i="52"/>
  <c r="CA24" i="52" s="1"/>
  <c r="Z22" i="52"/>
  <c r="AG22" i="52"/>
  <c r="AA22" i="52"/>
  <c r="AE22" i="52"/>
  <c r="AE25" i="52"/>
  <c r="Z25" i="52"/>
  <c r="AA25" i="52"/>
  <c r="AG25" i="52"/>
  <c r="BY31" i="52"/>
  <c r="AH24" i="52"/>
  <c r="AF33" i="52"/>
  <c r="AP33" i="52" s="1" a="1"/>
  <c r="AP33" i="52" s="1"/>
  <c r="BQ33" i="52" s="1"/>
  <c r="AC24" i="52"/>
  <c r="AH31" i="52"/>
  <c r="AW24" i="52"/>
  <c r="BZ31" i="52"/>
  <c r="AH32" i="52"/>
  <c r="AX26" i="52"/>
  <c r="AY26" i="52" s="1"/>
  <c r="BR26" i="52"/>
  <c r="BQ26" i="52"/>
  <c r="BU31" i="52"/>
  <c r="BV31" i="52"/>
  <c r="AH20" i="52"/>
  <c r="AW20" i="52"/>
  <c r="BY20" i="52"/>
  <c r="BZ20" i="52"/>
  <c r="BI20" i="52"/>
  <c r="AF20" i="52"/>
  <c r="AR20" i="52" a="1"/>
  <c r="AR20" i="52" s="1"/>
  <c r="AP20" i="52" a="1"/>
  <c r="AP20" i="52" s="1"/>
  <c r="BJ20" i="52"/>
  <c r="AC20" i="52"/>
  <c r="BV28" i="52"/>
  <c r="BU28" i="52"/>
  <c r="AK21" i="52"/>
  <c r="AX33" i="52"/>
  <c r="AY33" i="52" s="1"/>
  <c r="AZ33" i="52"/>
  <c r="AI32" i="29"/>
  <c r="AI35" i="29"/>
  <c r="AI34" i="29"/>
  <c r="AI33" i="29"/>
  <c r="AI36" i="29"/>
  <c r="AI30" i="29"/>
  <c r="AE35" i="29"/>
  <c r="AM35" i="29"/>
  <c r="AB35" i="29"/>
  <c r="AE33" i="29"/>
  <c r="AM33" i="29"/>
  <c r="AB33" i="29"/>
  <c r="AE34" i="29"/>
  <c r="AM34" i="29"/>
  <c r="AB34" i="29"/>
  <c r="AB36" i="29"/>
  <c r="AE36" i="29"/>
  <c r="AM36" i="29"/>
  <c r="F31" i="29"/>
  <c r="AW31" i="29"/>
  <c r="AX31" i="29"/>
  <c r="AZ31" i="29"/>
  <c r="BM31" i="29" s="1"/>
  <c r="BN31" i="29" s="1"/>
  <c r="BJ31" i="29"/>
  <c r="BH31" i="29"/>
  <c r="BI31" i="29" s="1"/>
  <c r="X32" i="29"/>
  <c r="Y32" i="29" s="1"/>
  <c r="AE32" i="29"/>
  <c r="AM32" i="29"/>
  <c r="AB32" i="29"/>
  <c r="J30" i="50"/>
  <c r="Y30" i="50"/>
  <c r="H30" i="50"/>
  <c r="E30" i="50"/>
  <c r="F30" i="50"/>
  <c r="R30" i="50"/>
  <c r="B23" i="124" s="1"/>
  <c r="I30" i="50"/>
  <c r="U30" i="50"/>
  <c r="Z30" i="50"/>
  <c r="T30" i="50"/>
  <c r="AM30" i="29"/>
  <c r="AB30" i="29"/>
  <c r="AE30" i="29"/>
  <c r="X30" i="29"/>
  <c r="T34" i="50"/>
  <c r="Z34" i="50"/>
  <c r="Y34" i="50"/>
  <c r="U34" i="50"/>
  <c r="J34" i="50"/>
  <c r="R34" i="50"/>
  <c r="B9" i="124" s="1"/>
  <c r="H34" i="50"/>
  <c r="I34" i="50"/>
  <c r="H33" i="50"/>
  <c r="Y33" i="50"/>
  <c r="J33" i="50"/>
  <c r="T33" i="50"/>
  <c r="I33" i="50"/>
  <c r="Z33" i="50"/>
  <c r="U33" i="50"/>
  <c r="R33" i="50"/>
  <c r="B8" i="124" s="1"/>
  <c r="P33" i="52"/>
  <c r="AA31" i="29" l="1"/>
  <c r="BY27" i="52"/>
  <c r="BZ27" i="52"/>
  <c r="AB27" i="52"/>
  <c r="BJ27" i="52"/>
  <c r="AH27" i="52"/>
  <c r="AP27" i="52" a="1"/>
  <c r="AP27" i="52" s="1"/>
  <c r="BQ27" i="52" s="1"/>
  <c r="AR27" i="52" a="1"/>
  <c r="AR27" i="52" s="1"/>
  <c r="BU27" i="52" s="1"/>
  <c r="P27" i="52"/>
  <c r="AL27" i="52"/>
  <c r="BI27" i="52"/>
  <c r="AM27" i="52"/>
  <c r="AC27" i="52"/>
  <c r="AX27" i="52"/>
  <c r="AY27" i="52" s="1"/>
  <c r="BU23" i="52"/>
  <c r="BJ23" i="52"/>
  <c r="AP23" i="52" a="1"/>
  <c r="AP23" i="52" s="1"/>
  <c r="BQ23" i="52" s="1"/>
  <c r="AP32" i="52" a="1"/>
  <c r="AP32" i="52" s="1"/>
  <c r="BR32" i="52" s="1"/>
  <c r="AR32" i="52" a="1"/>
  <c r="AR32" i="52" s="1"/>
  <c r="BJ21" i="52"/>
  <c r="BI21" i="52"/>
  <c r="AR24" i="52" a="1"/>
  <c r="AR24" i="52" s="1"/>
  <c r="BU24" i="52" s="1"/>
  <c r="AP24" i="52" a="1"/>
  <c r="AP24" i="52" s="1"/>
  <c r="BQ24" i="52" s="1"/>
  <c r="AL30" i="52"/>
  <c r="AM30" i="52"/>
  <c r="BQ21" i="52"/>
  <c r="BS21" i="52" s="1"/>
  <c r="AK23" i="52"/>
  <c r="BR30" i="52"/>
  <c r="BS30" i="52" s="1"/>
  <c r="BV21" i="52"/>
  <c r="BW21" i="52" s="1"/>
  <c r="AL31" i="52"/>
  <c r="AK31" i="52"/>
  <c r="BR31" i="52"/>
  <c r="BS31" i="52" s="1"/>
  <c r="BV23" i="52"/>
  <c r="AK32" i="52"/>
  <c r="BU30" i="52"/>
  <c r="BW30" i="52" s="1"/>
  <c r="AL29" i="52"/>
  <c r="AL26" i="52"/>
  <c r="BV26" i="52"/>
  <c r="BW26" i="52" s="1"/>
  <c r="AK29" i="52"/>
  <c r="AK26" i="52"/>
  <c r="BQ28" i="52"/>
  <c r="BS28" i="52" s="1"/>
  <c r="BU29" i="52"/>
  <c r="BW29" i="52" s="1"/>
  <c r="AK24" i="52"/>
  <c r="BR29" i="52"/>
  <c r="BS29" i="52" s="1"/>
  <c r="AK28" i="52"/>
  <c r="AL28" i="52"/>
  <c r="AR33" i="52" a="1"/>
  <c r="AR33" i="52" s="1"/>
  <c r="BJ33" i="52" s="1"/>
  <c r="AK33" i="52"/>
  <c r="CA20" i="52"/>
  <c r="BI33" i="52"/>
  <c r="CA31" i="52"/>
  <c r="AF25" i="52"/>
  <c r="AR25" i="52" s="1" a="1"/>
  <c r="AR25" i="52" s="1"/>
  <c r="BJ25" i="52" s="1"/>
  <c r="AC25" i="52"/>
  <c r="BR33" i="52"/>
  <c r="BS33" i="52" s="1"/>
  <c r="AF22" i="52"/>
  <c r="AR22" i="52" s="1" a="1"/>
  <c r="AR22" i="52" s="1"/>
  <c r="BJ22" i="52" s="1"/>
  <c r="AC22" i="52"/>
  <c r="BW31" i="52"/>
  <c r="AW22" i="52"/>
  <c r="AH22" i="52"/>
  <c r="BZ22" i="52"/>
  <c r="BY22" i="52"/>
  <c r="BS26" i="52"/>
  <c r="BZ25" i="52"/>
  <c r="AH25" i="52"/>
  <c r="AW25" i="52"/>
  <c r="BY25" i="52"/>
  <c r="AK20" i="52"/>
  <c r="AL20" i="52"/>
  <c r="AM20" i="52"/>
  <c r="BW28" i="52"/>
  <c r="BQ20" i="52"/>
  <c r="BR20" i="52"/>
  <c r="BU20" i="52"/>
  <c r="BV20" i="52"/>
  <c r="AL30" i="29"/>
  <c r="AL32" i="29"/>
  <c r="AL36" i="29"/>
  <c r="AG32" i="29"/>
  <c r="AF32" i="29"/>
  <c r="AF36" i="29"/>
  <c r="AG36" i="29"/>
  <c r="AI31" i="29"/>
  <c r="AF34" i="29"/>
  <c r="AG34" i="29"/>
  <c r="AG30" i="29"/>
  <c r="AF30" i="29"/>
  <c r="AL33" i="29"/>
  <c r="AL34" i="29"/>
  <c r="AL35" i="29"/>
  <c r="AN30" i="29"/>
  <c r="AN32" i="29"/>
  <c r="AN36" i="29"/>
  <c r="W32" i="29"/>
  <c r="BD32" i="29" s="1"/>
  <c r="Z32" i="29" s="1"/>
  <c r="Y30" i="29"/>
  <c r="W30" i="29" s="1"/>
  <c r="AE31" i="29"/>
  <c r="AM31" i="29"/>
  <c r="AB31" i="29"/>
  <c r="BV34" i="29"/>
  <c r="CF34" i="29"/>
  <c r="BW34" i="29"/>
  <c r="CA34" i="29"/>
  <c r="BX34" i="29"/>
  <c r="CC34" i="29"/>
  <c r="CD34" i="29"/>
  <c r="CB34" i="29"/>
  <c r="CJ34" i="29"/>
  <c r="BY34" i="29"/>
  <c r="CK34" i="29"/>
  <c r="CI34" i="29"/>
  <c r="CH34" i="29"/>
  <c r="BS34" i="29"/>
  <c r="CK30" i="29"/>
  <c r="CH30" i="29"/>
  <c r="CG30" i="29"/>
  <c r="CF30" i="29"/>
  <c r="CA30" i="29"/>
  <c r="BW30" i="29"/>
  <c r="BS30" i="29"/>
  <c r="CD30" i="29"/>
  <c r="BX30" i="29"/>
  <c r="CB30" i="29"/>
  <c r="CI30" i="29"/>
  <c r="CC30" i="29"/>
  <c r="CJ30" i="29"/>
  <c r="AN34" i="29"/>
  <c r="AN33" i="29"/>
  <c r="CI32" i="29"/>
  <c r="CH32" i="29"/>
  <c r="BS32" i="29"/>
  <c r="CD32" i="29"/>
  <c r="BX32" i="29"/>
  <c r="CG32" i="29"/>
  <c r="CF32" i="29"/>
  <c r="BW32" i="29"/>
  <c r="CA32" i="29"/>
  <c r="CC32" i="29"/>
  <c r="CK32" i="29"/>
  <c r="CJ32" i="29"/>
  <c r="CB32" i="29"/>
  <c r="CA36" i="29"/>
  <c r="CC36" i="29"/>
  <c r="BS36" i="29"/>
  <c r="CJ36" i="29"/>
  <c r="BW36" i="29"/>
  <c r="CI36" i="29"/>
  <c r="BX36" i="29"/>
  <c r="CK36" i="29"/>
  <c r="CH36" i="29"/>
  <c r="BV36" i="29"/>
  <c r="CB36" i="29"/>
  <c r="CF36" i="29"/>
  <c r="CD36" i="29"/>
  <c r="BY36" i="29"/>
  <c r="AN35" i="29"/>
  <c r="AC32" i="29" l="1"/>
  <c r="AD32" i="29" s="1"/>
  <c r="BD30" i="29"/>
  <c r="Z30" i="29" s="1"/>
  <c r="CA27" i="52"/>
  <c r="AP22" i="52" a="1"/>
  <c r="AP22" i="52" s="1"/>
  <c r="BI22" i="52" s="1"/>
  <c r="BV27" i="52"/>
  <c r="BW27" i="52" s="1"/>
  <c r="BR27" i="52"/>
  <c r="BS27" i="52" s="1"/>
  <c r="BW23" i="52"/>
  <c r="BU32" i="52"/>
  <c r="BJ32" i="52"/>
  <c r="BV32" i="52"/>
  <c r="BQ32" i="52"/>
  <c r="BS32" i="52" s="1"/>
  <c r="BI32" i="52"/>
  <c r="BR23" i="52"/>
  <c r="BS23" i="52" s="1"/>
  <c r="BI23" i="52"/>
  <c r="AP25" i="52" a="1"/>
  <c r="AP25" i="52" s="1"/>
  <c r="BI25" i="52" s="1"/>
  <c r="BR24" i="52"/>
  <c r="BS24" i="52" s="1"/>
  <c r="BI24" i="52"/>
  <c r="BV24" i="52"/>
  <c r="BW24" i="52" s="1"/>
  <c r="BJ24" i="52"/>
  <c r="BU33" i="52"/>
  <c r="BV33" i="52"/>
  <c r="CA25" i="52"/>
  <c r="CA22" i="52"/>
  <c r="BU25" i="52"/>
  <c r="BV25" i="52"/>
  <c r="BU22" i="52"/>
  <c r="BV22" i="52"/>
  <c r="AK25" i="52"/>
  <c r="AK22" i="52"/>
  <c r="BS20" i="52"/>
  <c r="BW20" i="52"/>
  <c r="AJ32" i="29"/>
  <c r="AJ34" i="29"/>
  <c r="AJ36" i="29"/>
  <c r="AJ30" i="29"/>
  <c r="AL31" i="29"/>
  <c r="AG31" i="29"/>
  <c r="AF31" i="29"/>
  <c r="AN31" i="29"/>
  <c r="CJ31" i="29"/>
  <c r="CI31" i="29"/>
  <c r="CC31" i="29"/>
  <c r="CH31" i="29"/>
  <c r="CF31" i="29"/>
  <c r="CA31" i="29"/>
  <c r="BW31" i="29"/>
  <c r="BS31" i="29"/>
  <c r="CB31" i="29"/>
  <c r="CD31" i="29"/>
  <c r="BX31" i="29"/>
  <c r="CK31" i="29"/>
  <c r="AC30" i="29" l="1"/>
  <c r="AD30" i="29" s="1"/>
  <c r="BR22" i="52"/>
  <c r="BQ22" i="52"/>
  <c r="BW32" i="52"/>
  <c r="BQ25" i="52"/>
  <c r="BR25" i="52"/>
  <c r="BW33" i="52"/>
  <c r="BW22" i="52"/>
  <c r="BW25" i="52"/>
  <c r="AJ31" i="29"/>
  <c r="BS22" i="52" l="1"/>
  <c r="BS25" i="52"/>
  <c r="M22" i="50" l="1"/>
  <c r="F3" i="28"/>
  <c r="G12" i="91"/>
  <c r="Z13" i="91"/>
  <c r="Z14" i="91"/>
  <c r="I14" i="91"/>
  <c r="Q14" i="84"/>
  <c r="O14" i="84"/>
  <c r="P14" i="84"/>
  <c r="I14" i="84"/>
  <c r="K14" i="84"/>
  <c r="L14" i="84"/>
  <c r="M14" i="84"/>
  <c r="H14" i="84"/>
  <c r="G14" i="84"/>
  <c r="F14" i="84"/>
  <c r="G13" i="91"/>
  <c r="G14" i="91"/>
  <c r="L13" i="84"/>
  <c r="L12" i="84"/>
  <c r="K13" i="84"/>
  <c r="K12" i="84"/>
  <c r="I13" i="84"/>
  <c r="I12" i="84"/>
  <c r="G13" i="84"/>
  <c r="G12" i="84"/>
  <c r="H56" i="91"/>
  <c r="K56" i="91" s="1"/>
  <c r="H55" i="91"/>
  <c r="K55" i="91" s="1"/>
  <c r="H54" i="91"/>
  <c r="K54" i="91" s="1"/>
  <c r="I13" i="91"/>
  <c r="I12" i="91"/>
  <c r="AC12" i="91" s="1"/>
  <c r="I47" i="91"/>
  <c r="I48" i="91"/>
  <c r="K48" i="91" s="1"/>
  <c r="K52" i="91"/>
  <c r="K51" i="91"/>
  <c r="K50" i="91"/>
  <c r="P12" i="91"/>
  <c r="P13" i="91"/>
  <c r="P14" i="91"/>
  <c r="U12" i="91"/>
  <c r="U13" i="91"/>
  <c r="U14" i="91"/>
  <c r="D14" i="84"/>
  <c r="D13" i="84"/>
  <c r="D12" i="84"/>
  <c r="C14" i="84"/>
  <c r="C13" i="84"/>
  <c r="C12" i="84"/>
  <c r="G26" i="7"/>
  <c r="L14" i="98"/>
  <c r="G22" i="7" s="1"/>
  <c r="L13" i="98"/>
  <c r="G21" i="7" s="1"/>
  <c r="L12" i="98"/>
  <c r="AC6" i="93"/>
  <c r="B32" i="84" l="1"/>
  <c r="AH7" i="93"/>
  <c r="M33" i="52"/>
  <c r="M32" i="52"/>
  <c r="V35" i="29"/>
  <c r="S34" i="50"/>
  <c r="M27" i="52"/>
  <c r="M31" i="52"/>
  <c r="M30" i="52"/>
  <c r="M26" i="52"/>
  <c r="S35" i="50"/>
  <c r="M28" i="52"/>
  <c r="V36" i="29"/>
  <c r="M29" i="52"/>
  <c r="B14" i="84"/>
  <c r="B12" i="84"/>
  <c r="B13" i="84"/>
  <c r="S33" i="50"/>
  <c r="V34" i="29"/>
  <c r="S29" i="50"/>
  <c r="V30" i="29"/>
  <c r="S30" i="50"/>
  <c r="V31" i="29"/>
  <c r="S31" i="50"/>
  <c r="V32" i="29"/>
  <c r="S32" i="50"/>
  <c r="V33" i="29"/>
  <c r="AA13" i="91"/>
  <c r="K13" i="91"/>
  <c r="AC13" i="91"/>
  <c r="K14" i="91"/>
  <c r="AC14" i="91"/>
  <c r="AA12" i="91"/>
  <c r="F18" i="7"/>
  <c r="CB32" i="52" l="1"/>
  <c r="BT32" i="52"/>
  <c r="BX32" i="52"/>
  <c r="BT33" i="52"/>
  <c r="BX33" i="52"/>
  <c r="CB27" i="52"/>
  <c r="BT27" i="52"/>
  <c r="BX27" i="52"/>
  <c r="CB26" i="52"/>
  <c r="BT26" i="52"/>
  <c r="BX26" i="52"/>
  <c r="CB30" i="52"/>
  <c r="BX30" i="52"/>
  <c r="BT30" i="52"/>
  <c r="CB28" i="52"/>
  <c r="BX28" i="52"/>
  <c r="BT28" i="52"/>
  <c r="BT31" i="52"/>
  <c r="CB31" i="52"/>
  <c r="BX31" i="52"/>
  <c r="CB29" i="52"/>
  <c r="BX29" i="52"/>
  <c r="BT29" i="52"/>
  <c r="AB12" i="91"/>
  <c r="AA14" i="91"/>
  <c r="AB13" i="91"/>
  <c r="N14" i="84"/>
  <c r="AS7" i="93"/>
  <c r="K12" i="91"/>
  <c r="AE12" i="91" l="1"/>
  <c r="AD12" i="91"/>
  <c r="AE13" i="91"/>
  <c r="AD13" i="91"/>
  <c r="AB14" i="91"/>
  <c r="AE14" i="91" l="1"/>
  <c r="AD14" i="91"/>
  <c r="F12" i="84"/>
  <c r="AF6" i="93"/>
  <c r="AK7" i="93"/>
  <c r="AK6" i="93"/>
  <c r="R6" i="93"/>
  <c r="T12" i="84" s="1"/>
  <c r="T7" i="93"/>
  <c r="Q7" i="93" s="1"/>
  <c r="S13" i="84" s="1"/>
  <c r="P13" i="84" l="1"/>
  <c r="S6" i="93"/>
  <c r="U12" i="84" s="1"/>
  <c r="P12" i="84"/>
  <c r="Q13" i="84"/>
  <c r="Q12" i="84"/>
  <c r="N12" i="84"/>
  <c r="I25" i="7" l="1"/>
  <c r="I26" i="7" s="1"/>
  <c r="O26" i="7"/>
  <c r="G34" i="50"/>
  <c r="O13" i="84"/>
  <c r="O12" i="84"/>
  <c r="U6" i="91"/>
  <c r="U8" i="91"/>
  <c r="U7" i="91"/>
  <c r="P8" i="91"/>
  <c r="P7" i="91"/>
  <c r="P6" i="91"/>
  <c r="K7" i="91"/>
  <c r="K8" i="91"/>
  <c r="K6" i="91"/>
  <c r="AQ19" i="52"/>
  <c r="AO19" i="52"/>
  <c r="N26" i="7" l="1"/>
  <c r="N35" i="50" s="1"/>
  <c r="N24" i="7"/>
  <c r="N23" i="7"/>
  <c r="N22" i="7"/>
  <c r="N25" i="7"/>
  <c r="F29" i="52"/>
  <c r="F28" i="52"/>
  <c r="F31" i="52"/>
  <c r="F30" i="52"/>
  <c r="F26" i="52"/>
  <c r="F27" i="52"/>
  <c r="N20" i="7"/>
  <c r="N29" i="50" s="1"/>
  <c r="N21" i="7"/>
  <c r="N30" i="50" s="1"/>
  <c r="N19" i="7"/>
  <c r="N28" i="50" s="1"/>
  <c r="L33" i="52"/>
  <c r="L32" i="52"/>
  <c r="N31" i="50"/>
  <c r="N32" i="50"/>
  <c r="N33" i="50"/>
  <c r="N34" i="50"/>
  <c r="L28" i="52"/>
  <c r="L31" i="52"/>
  <c r="L27" i="52"/>
  <c r="L26" i="52"/>
  <c r="L30" i="52"/>
  <c r="L29" i="52"/>
  <c r="G35" i="50"/>
  <c r="BS26" i="7"/>
  <c r="Q26" i="7"/>
  <c r="S26" i="7" s="1"/>
  <c r="J14" i="84"/>
  <c r="N13" i="84"/>
  <c r="R7" i="93"/>
  <c r="T13" i="84" s="1"/>
  <c r="M13" i="84"/>
  <c r="J13" i="84"/>
  <c r="M12" i="84"/>
  <c r="J12" i="84"/>
  <c r="N8" i="93"/>
  <c r="M24" i="7" l="1"/>
  <c r="M23" i="7"/>
  <c r="K32" i="50" s="1"/>
  <c r="M22" i="7"/>
  <c r="M26" i="7"/>
  <c r="M25" i="7"/>
  <c r="K34" i="50" s="1"/>
  <c r="P34" i="50" s="1"/>
  <c r="D16" i="124" s="1"/>
  <c r="R26" i="7"/>
  <c r="S7" i="93"/>
  <c r="M20" i="7"/>
  <c r="K29" i="50" s="1"/>
  <c r="M21" i="7"/>
  <c r="K30" i="50" s="1"/>
  <c r="M19" i="7"/>
  <c r="K28" i="50" s="1"/>
  <c r="K31" i="50"/>
  <c r="J33" i="52"/>
  <c r="J32" i="52"/>
  <c r="K33" i="50"/>
  <c r="K35" i="50"/>
  <c r="P35" i="50" s="1"/>
  <c r="D17" i="124" s="1"/>
  <c r="F17" i="124" s="1"/>
  <c r="J26" i="52"/>
  <c r="J29" i="52"/>
  <c r="J27" i="52"/>
  <c r="J31" i="52"/>
  <c r="J30" i="52"/>
  <c r="J28" i="52"/>
  <c r="R10" i="93"/>
  <c r="R19" i="93" s="1"/>
  <c r="R22" i="93" s="1"/>
  <c r="T36" i="84" s="1"/>
  <c r="S14" i="84"/>
  <c r="BE18" i="29"/>
  <c r="A18" i="29" s="1"/>
  <c r="BE19" i="29"/>
  <c r="BE20" i="29"/>
  <c r="BE21" i="29"/>
  <c r="BE22" i="29"/>
  <c r="BE23" i="29"/>
  <c r="BE24" i="29"/>
  <c r="BE25" i="29"/>
  <c r="R38" i="50"/>
  <c r="I22" i="7" l="1"/>
  <c r="I23" i="7" s="1"/>
  <c r="O23" i="7" s="1"/>
  <c r="Q23" i="7" s="1"/>
  <c r="S23" i="7" s="1"/>
  <c r="R23" i="7" s="1"/>
  <c r="U13" i="84"/>
  <c r="F16" i="124"/>
  <c r="X6" i="93"/>
  <c r="BS23" i="7"/>
  <c r="U14" i="84"/>
  <c r="T14" i="84"/>
  <c r="O22" i="7" l="1"/>
  <c r="G31" i="50"/>
  <c r="P31" i="50" s="1"/>
  <c r="D13" i="124" s="1"/>
  <c r="X7" i="93" s="1"/>
  <c r="X8" i="93" s="1"/>
  <c r="S17" i="84" s="1"/>
  <c r="Q22" i="7" l="1"/>
  <c r="S22" i="7" s="1"/>
  <c r="R22" i="7" s="1"/>
  <c r="BS22" i="7"/>
  <c r="O24" i="7"/>
  <c r="G32" i="50"/>
  <c r="P32" i="50" s="1"/>
  <c r="D14" i="124" s="1"/>
  <c r="T19" i="84"/>
  <c r="AY31" i="29" l="1"/>
  <c r="BA31" i="29" s="1"/>
  <c r="X31" i="29" s="1"/>
  <c r="Y31" i="29" s="1"/>
  <c r="W31" i="29" s="1"/>
  <c r="AB30" i="50"/>
  <c r="O25" i="7"/>
  <c r="G33" i="50"/>
  <c r="P33" i="50" s="1"/>
  <c r="D15" i="124" s="1"/>
  <c r="BS24" i="7"/>
  <c r="Q24" i="7"/>
  <c r="S24" i="7" s="1"/>
  <c r="AY36" i="29" l="1"/>
  <c r="BA36" i="29" s="1"/>
  <c r="AB35" i="50"/>
  <c r="CG31" i="29"/>
  <c r="BD31" i="29"/>
  <c r="R24" i="7"/>
  <c r="AB32" i="50"/>
  <c r="AY33" i="29"/>
  <c r="BA33" i="29" s="1"/>
  <c r="Q25" i="7"/>
  <c r="S25" i="7" s="1"/>
  <c r="BS25" i="7"/>
  <c r="X36" i="29" l="1"/>
  <c r="Y36" i="29" s="1"/>
  <c r="W36" i="29" s="1"/>
  <c r="BD36" i="29" s="1"/>
  <c r="CG36" i="29"/>
  <c r="Z31" i="29"/>
  <c r="AC31" i="29"/>
  <c r="AY35" i="29"/>
  <c r="BA35" i="29" s="1"/>
  <c r="AB34" i="50"/>
  <c r="X33" i="29"/>
  <c r="Y33" i="29" s="1"/>
  <c r="W33" i="29" s="1"/>
  <c r="CD33" i="29"/>
  <c r="AG33" i="29"/>
  <c r="BW33" i="29"/>
  <c r="CB33" i="29"/>
  <c r="CA33" i="29"/>
  <c r="BS33" i="29"/>
  <c r="CC33" i="29"/>
  <c r="BX33" i="29"/>
  <c r="CI33" i="29"/>
  <c r="AF33" i="29"/>
  <c r="CH33" i="29"/>
  <c r="R25" i="7"/>
  <c r="AY34" i="29"/>
  <c r="BA34" i="29" s="1"/>
  <c r="AB33" i="50"/>
  <c r="CG33" i="29"/>
  <c r="AD31" i="29" l="1"/>
  <c r="AC36" i="29"/>
  <c r="Z36" i="29"/>
  <c r="BD33" i="29"/>
  <c r="AC33" i="29" s="1"/>
  <c r="X35" i="29"/>
  <c r="Y35" i="29" s="1"/>
  <c r="W35" i="29" s="1"/>
  <c r="CD35" i="29"/>
  <c r="CI35" i="29"/>
  <c r="CA35" i="29"/>
  <c r="BX35" i="29"/>
  <c r="AF35" i="29"/>
  <c r="CC35" i="29"/>
  <c r="CH35" i="29"/>
  <c r="AG35" i="29"/>
  <c r="BS35" i="29"/>
  <c r="CB35" i="29"/>
  <c r="BW35" i="29"/>
  <c r="CG35" i="29"/>
  <c r="CJ33" i="29"/>
  <c r="X34" i="29"/>
  <c r="Y34" i="29" s="1"/>
  <c r="W34" i="29" s="1"/>
  <c r="AJ33" i="29"/>
  <c r="BB33" i="29"/>
  <c r="CG34" i="29"/>
  <c r="CJ35" i="29" l="1"/>
  <c r="AD36" i="29"/>
  <c r="Z33" i="29"/>
  <c r="AD33" i="29" s="1"/>
  <c r="BD34" i="29"/>
  <c r="AC34" i="29" s="1"/>
  <c r="BD35" i="29"/>
  <c r="AC35" i="29" s="1"/>
  <c r="AJ35" i="29"/>
  <c r="Z34" i="29" l="1"/>
  <c r="AD34" i="29" s="1"/>
  <c r="Z35" i="29"/>
  <c r="AD35" i="29" s="1"/>
  <c r="F7" i="55" l="1"/>
  <c r="I7" i="55" s="1"/>
  <c r="H7" i="55" l="1"/>
  <c r="P18" i="7" l="1"/>
  <c r="M5" i="11"/>
  <c r="L3" i="11" l="1"/>
  <c r="E2" i="11"/>
  <c r="E4" i="11"/>
  <c r="D2" i="11"/>
  <c r="F3" i="11"/>
  <c r="E3" i="11"/>
  <c r="X18" i="7" l="1"/>
  <c r="AF18" i="34"/>
  <c r="AG33" i="52" l="1"/>
  <c r="AH33" i="52" l="1"/>
  <c r="BZ33" i="52"/>
  <c r="AW33" i="52"/>
  <c r="BY33" i="52"/>
  <c r="CA33" i="52" l="1"/>
  <c r="CB33" i="52" s="1"/>
  <c r="F4" i="7" l="1"/>
  <c r="F5" i="7"/>
  <c r="S122" i="55" l="1"/>
  <c r="R122" i="55"/>
  <c r="P122" i="55"/>
  <c r="I122" i="55"/>
  <c r="H122" i="55"/>
  <c r="F122" i="55"/>
  <c r="S121" i="55"/>
  <c r="R121" i="55"/>
  <c r="P121" i="55"/>
  <c r="I121" i="55"/>
  <c r="H121" i="55"/>
  <c r="F121" i="55"/>
  <c r="S120" i="55"/>
  <c r="R120" i="55"/>
  <c r="P120" i="55"/>
  <c r="I120" i="55"/>
  <c r="H120" i="55"/>
  <c r="F120" i="55"/>
  <c r="S119" i="55"/>
  <c r="R119" i="55"/>
  <c r="P119" i="55"/>
  <c r="I119" i="55"/>
  <c r="H119" i="55"/>
  <c r="F119" i="55"/>
  <c r="S118" i="55"/>
  <c r="R118" i="55"/>
  <c r="P118" i="55"/>
  <c r="I118" i="55"/>
  <c r="H118" i="55"/>
  <c r="F118" i="55"/>
  <c r="S117" i="55"/>
  <c r="R117" i="55"/>
  <c r="P117" i="55"/>
  <c r="I117" i="55"/>
  <c r="H117" i="55"/>
  <c r="F117" i="55"/>
  <c r="S116" i="55"/>
  <c r="R116" i="55"/>
  <c r="P116" i="55"/>
  <c r="I116" i="55"/>
  <c r="H116" i="55"/>
  <c r="F116" i="55"/>
  <c r="S115" i="55"/>
  <c r="R115" i="55"/>
  <c r="P115" i="55"/>
  <c r="I115" i="55"/>
  <c r="H115" i="55"/>
  <c r="F115" i="55"/>
  <c r="S114" i="55"/>
  <c r="R114" i="55"/>
  <c r="P114" i="55"/>
  <c r="I114" i="55"/>
  <c r="H114" i="55"/>
  <c r="F114" i="55"/>
  <c r="S109" i="55"/>
  <c r="R109" i="55"/>
  <c r="P109" i="55"/>
  <c r="I109" i="55"/>
  <c r="H109" i="55"/>
  <c r="F109" i="55"/>
  <c r="S108" i="55"/>
  <c r="R108" i="55"/>
  <c r="P108" i="55"/>
  <c r="I108" i="55"/>
  <c r="H108" i="55"/>
  <c r="F108" i="55"/>
  <c r="S107" i="55"/>
  <c r="R107" i="55"/>
  <c r="P107" i="55"/>
  <c r="I107" i="55"/>
  <c r="H107" i="55"/>
  <c r="F107" i="55"/>
  <c r="S106" i="55"/>
  <c r="R106" i="55"/>
  <c r="P106" i="55"/>
  <c r="I106" i="55"/>
  <c r="H106" i="55"/>
  <c r="F106" i="55"/>
  <c r="S101" i="55"/>
  <c r="P101" i="55"/>
  <c r="I101" i="55"/>
  <c r="H101" i="55"/>
  <c r="F101" i="55"/>
  <c r="S100" i="55"/>
  <c r="P100" i="55"/>
  <c r="I100" i="55"/>
  <c r="H100" i="55"/>
  <c r="F100" i="55"/>
  <c r="S99" i="55"/>
  <c r="P99" i="55"/>
  <c r="I99" i="55"/>
  <c r="H99" i="55"/>
  <c r="F99" i="55"/>
  <c r="S98" i="55"/>
  <c r="P98" i="55"/>
  <c r="I98" i="55"/>
  <c r="H98" i="55"/>
  <c r="F98" i="55"/>
  <c r="S97" i="55"/>
  <c r="P97" i="55"/>
  <c r="I97" i="55"/>
  <c r="H97" i="55"/>
  <c r="F97" i="55"/>
  <c r="S96" i="55"/>
  <c r="P96" i="55"/>
  <c r="I96" i="55"/>
  <c r="H96" i="55"/>
  <c r="F96" i="55"/>
  <c r="S95" i="55"/>
  <c r="P95" i="55"/>
  <c r="I95" i="55"/>
  <c r="H95" i="55"/>
  <c r="F95" i="55"/>
  <c r="S94" i="55"/>
  <c r="P94" i="55"/>
  <c r="I94" i="55"/>
  <c r="H94" i="55"/>
  <c r="F94" i="55"/>
  <c r="S93" i="55"/>
  <c r="P93" i="55"/>
  <c r="I93" i="55"/>
  <c r="H93" i="55"/>
  <c r="F93" i="55"/>
  <c r="S88" i="55"/>
  <c r="R88" i="55"/>
  <c r="P88" i="55"/>
  <c r="I88" i="55"/>
  <c r="H88" i="55"/>
  <c r="F88" i="55"/>
  <c r="S87" i="55"/>
  <c r="R87" i="55"/>
  <c r="P87" i="55"/>
  <c r="I87" i="55"/>
  <c r="H87" i="55"/>
  <c r="F87" i="55"/>
  <c r="S86" i="55"/>
  <c r="R86" i="55"/>
  <c r="P86" i="55"/>
  <c r="I86" i="55"/>
  <c r="H86" i="55"/>
  <c r="F86" i="55"/>
  <c r="S85" i="55"/>
  <c r="R85" i="55"/>
  <c r="P85" i="55"/>
  <c r="I85" i="55"/>
  <c r="H85" i="55"/>
  <c r="F85" i="55"/>
  <c r="S84" i="55"/>
  <c r="R84" i="55"/>
  <c r="P84" i="55"/>
  <c r="I84" i="55"/>
  <c r="H84" i="55"/>
  <c r="F84" i="55"/>
  <c r="S83" i="55"/>
  <c r="R83" i="55"/>
  <c r="P83" i="55"/>
  <c r="I83" i="55"/>
  <c r="H83" i="55"/>
  <c r="F83" i="55"/>
  <c r="S82" i="55"/>
  <c r="R82" i="55"/>
  <c r="P82" i="55"/>
  <c r="I82" i="55"/>
  <c r="H82" i="55"/>
  <c r="F82" i="55"/>
  <c r="S81" i="55"/>
  <c r="R81" i="55"/>
  <c r="P81" i="55"/>
  <c r="I81" i="55"/>
  <c r="H81" i="55"/>
  <c r="F81" i="55"/>
  <c r="S80" i="55"/>
  <c r="R80" i="55"/>
  <c r="P80" i="55"/>
  <c r="I80" i="55"/>
  <c r="H80" i="55"/>
  <c r="F80" i="55"/>
  <c r="S75" i="55"/>
  <c r="R75" i="55"/>
  <c r="P75" i="55"/>
  <c r="I75" i="55"/>
  <c r="H75" i="55"/>
  <c r="F75" i="55"/>
  <c r="S74" i="55"/>
  <c r="R74" i="55"/>
  <c r="P74" i="55"/>
  <c r="I74" i="55"/>
  <c r="H74" i="55"/>
  <c r="F74" i="55"/>
  <c r="S73" i="55"/>
  <c r="R73" i="55"/>
  <c r="P73" i="55"/>
  <c r="I73" i="55"/>
  <c r="H73" i="55"/>
  <c r="F73" i="55"/>
  <c r="S72" i="55"/>
  <c r="R72" i="55"/>
  <c r="P72" i="55"/>
  <c r="I72" i="55"/>
  <c r="H72" i="55"/>
  <c r="F72" i="55"/>
  <c r="S71" i="55"/>
  <c r="R71" i="55"/>
  <c r="P71" i="55"/>
  <c r="I71" i="55"/>
  <c r="H71" i="55"/>
  <c r="F71" i="55"/>
  <c r="S70" i="55"/>
  <c r="R70" i="55"/>
  <c r="P70" i="55"/>
  <c r="I70" i="55"/>
  <c r="H70" i="55"/>
  <c r="F70" i="55"/>
  <c r="S69" i="55"/>
  <c r="R69" i="55"/>
  <c r="P69" i="55"/>
  <c r="I69" i="55"/>
  <c r="H69" i="55"/>
  <c r="F69" i="55"/>
  <c r="S68" i="55"/>
  <c r="R68" i="55"/>
  <c r="P68" i="55"/>
  <c r="I68" i="55"/>
  <c r="H68" i="55"/>
  <c r="F68" i="55"/>
  <c r="S67" i="55"/>
  <c r="R67" i="55"/>
  <c r="P67" i="55"/>
  <c r="I67" i="55"/>
  <c r="H67" i="55"/>
  <c r="F67" i="55"/>
  <c r="S60" i="55"/>
  <c r="R60" i="55"/>
  <c r="P60" i="55"/>
  <c r="I60" i="55"/>
  <c r="H60" i="55"/>
  <c r="F60" i="55"/>
  <c r="S59" i="55"/>
  <c r="R59" i="55"/>
  <c r="P59" i="55"/>
  <c r="I59" i="55"/>
  <c r="H59" i="55"/>
  <c r="F59" i="55"/>
  <c r="S58" i="55"/>
  <c r="R58" i="55"/>
  <c r="P58" i="55"/>
  <c r="I58" i="55"/>
  <c r="H58" i="55"/>
  <c r="F58" i="55"/>
  <c r="S57" i="55"/>
  <c r="R57" i="55"/>
  <c r="P57" i="55"/>
  <c r="I57" i="55"/>
  <c r="H57" i="55"/>
  <c r="F57" i="55"/>
  <c r="S56" i="55"/>
  <c r="R56" i="55"/>
  <c r="P56" i="55"/>
  <c r="I56" i="55"/>
  <c r="H56" i="55"/>
  <c r="F56" i="55"/>
  <c r="S55" i="55"/>
  <c r="R55" i="55"/>
  <c r="P55" i="55"/>
  <c r="I55" i="55"/>
  <c r="H55" i="55"/>
  <c r="F55" i="55"/>
  <c r="S54" i="55"/>
  <c r="R54" i="55"/>
  <c r="P54" i="55"/>
  <c r="I54" i="55"/>
  <c r="H54" i="55"/>
  <c r="F54" i="55"/>
  <c r="S53" i="55"/>
  <c r="R53" i="55"/>
  <c r="P53" i="55"/>
  <c r="I53" i="55"/>
  <c r="H53" i="55"/>
  <c r="F53" i="55"/>
  <c r="S52" i="55"/>
  <c r="R52" i="55"/>
  <c r="P52" i="55"/>
  <c r="I52" i="55"/>
  <c r="H52" i="55"/>
  <c r="F52" i="55"/>
  <c r="S51" i="55"/>
  <c r="R51" i="55"/>
  <c r="P51" i="55"/>
  <c r="I51" i="55"/>
  <c r="H51" i="55"/>
  <c r="F51" i="55"/>
  <c r="S50" i="55"/>
  <c r="R50" i="55"/>
  <c r="P50" i="55"/>
  <c r="I50" i="55"/>
  <c r="H50" i="55"/>
  <c r="F50" i="55"/>
  <c r="S49" i="55"/>
  <c r="R49" i="55"/>
  <c r="P49" i="55"/>
  <c r="I49" i="55"/>
  <c r="H49" i="55"/>
  <c r="F49" i="55"/>
  <c r="S48" i="55"/>
  <c r="R48" i="55"/>
  <c r="P48" i="55"/>
  <c r="I48" i="55"/>
  <c r="H48" i="55"/>
  <c r="F48" i="55"/>
  <c r="S47" i="55"/>
  <c r="R47" i="55"/>
  <c r="P47" i="55"/>
  <c r="I47" i="55"/>
  <c r="H47" i="55"/>
  <c r="F47" i="55"/>
  <c r="S46" i="55"/>
  <c r="R46" i="55"/>
  <c r="P46" i="55"/>
  <c r="I46" i="55"/>
  <c r="H46" i="55"/>
  <c r="F46" i="55"/>
  <c r="S45" i="55"/>
  <c r="R45" i="55"/>
  <c r="P45" i="55"/>
  <c r="I45" i="55"/>
  <c r="H45" i="55"/>
  <c r="F45" i="55"/>
  <c r="S44" i="55"/>
  <c r="R44" i="55"/>
  <c r="P44" i="55"/>
  <c r="I44" i="55"/>
  <c r="H44" i="55"/>
  <c r="F44" i="55"/>
  <c r="S43" i="55"/>
  <c r="R43" i="55"/>
  <c r="P43" i="55"/>
  <c r="I43" i="55"/>
  <c r="H43" i="55"/>
  <c r="F43" i="55"/>
  <c r="S42" i="55"/>
  <c r="R42" i="55"/>
  <c r="P42" i="55"/>
  <c r="I42" i="55"/>
  <c r="H42" i="55"/>
  <c r="F42" i="55"/>
  <c r="S41" i="55"/>
  <c r="R41" i="55"/>
  <c r="P41" i="55"/>
  <c r="I41" i="55"/>
  <c r="H41" i="55"/>
  <c r="F41" i="55"/>
  <c r="S40" i="55"/>
  <c r="R40" i="55"/>
  <c r="P40" i="55"/>
  <c r="I40" i="55"/>
  <c r="H40" i="55"/>
  <c r="F40" i="55"/>
  <c r="S39" i="55"/>
  <c r="R39" i="55"/>
  <c r="P39" i="55"/>
  <c r="I39" i="55"/>
  <c r="H39" i="55"/>
  <c r="F39" i="55"/>
  <c r="S38" i="55"/>
  <c r="R38" i="55"/>
  <c r="P38" i="55"/>
  <c r="I38" i="55"/>
  <c r="H38" i="55"/>
  <c r="F38" i="55"/>
  <c r="S37" i="55"/>
  <c r="R37" i="55"/>
  <c r="P37" i="55"/>
  <c r="I37" i="55"/>
  <c r="H37" i="55"/>
  <c r="F37" i="55"/>
  <c r="S36" i="55"/>
  <c r="R36" i="55"/>
  <c r="P36" i="55"/>
  <c r="I36" i="55"/>
  <c r="H36" i="55"/>
  <c r="F36" i="55"/>
  <c r="S35" i="55"/>
  <c r="R35" i="55"/>
  <c r="P35" i="55"/>
  <c r="I35" i="55"/>
  <c r="H35" i="55"/>
  <c r="F35" i="55"/>
  <c r="S34" i="55"/>
  <c r="R34" i="55"/>
  <c r="P34" i="55"/>
  <c r="I34" i="55"/>
  <c r="H34" i="55"/>
  <c r="F34" i="55"/>
  <c r="S33" i="55"/>
  <c r="R33" i="55"/>
  <c r="P33" i="55"/>
  <c r="I33" i="55"/>
  <c r="H33" i="55"/>
  <c r="F33" i="55"/>
  <c r="S32" i="55"/>
  <c r="R32" i="55"/>
  <c r="P32" i="55"/>
  <c r="I32" i="55"/>
  <c r="H32" i="55"/>
  <c r="F32" i="55"/>
  <c r="S31" i="55"/>
  <c r="R31" i="55"/>
  <c r="P31" i="55"/>
  <c r="I31" i="55"/>
  <c r="H31" i="55"/>
  <c r="F31" i="55"/>
  <c r="S30" i="55"/>
  <c r="R30" i="55"/>
  <c r="P30" i="55"/>
  <c r="I30" i="55"/>
  <c r="H30" i="55"/>
  <c r="F30" i="55"/>
  <c r="S29" i="55"/>
  <c r="R29" i="55"/>
  <c r="P29" i="55"/>
  <c r="I29" i="55"/>
  <c r="H29" i="55"/>
  <c r="F29" i="55"/>
  <c r="S28" i="55"/>
  <c r="R28" i="55"/>
  <c r="P28" i="55"/>
  <c r="I28" i="55"/>
  <c r="H28" i="55"/>
  <c r="F28" i="55"/>
  <c r="S27" i="55"/>
  <c r="R27" i="55"/>
  <c r="P27" i="55"/>
  <c r="I27" i="55"/>
  <c r="H27" i="55"/>
  <c r="F27" i="55"/>
  <c r="S26" i="55"/>
  <c r="R26" i="55"/>
  <c r="P26" i="55"/>
  <c r="I26" i="55"/>
  <c r="H26" i="55"/>
  <c r="F26" i="55"/>
  <c r="S25" i="55"/>
  <c r="R25" i="55"/>
  <c r="P25" i="55"/>
  <c r="I25" i="55"/>
  <c r="H25" i="55"/>
  <c r="F25" i="55"/>
  <c r="S24" i="55"/>
  <c r="R24" i="55"/>
  <c r="P24" i="55"/>
  <c r="I24" i="55"/>
  <c r="H24" i="55"/>
  <c r="F24" i="55"/>
  <c r="S23" i="55"/>
  <c r="R23" i="55"/>
  <c r="P23" i="55"/>
  <c r="I23" i="55"/>
  <c r="H23" i="55"/>
  <c r="F23" i="55"/>
  <c r="S22" i="55"/>
  <c r="R22" i="55"/>
  <c r="P22" i="55"/>
  <c r="H22" i="55"/>
  <c r="F22" i="55"/>
  <c r="R21" i="55"/>
  <c r="P21" i="55"/>
  <c r="F21" i="55"/>
  <c r="I22" i="55" s="1"/>
  <c r="P20" i="55"/>
  <c r="R20" i="55" s="1"/>
  <c r="F20" i="55"/>
  <c r="P19" i="55"/>
  <c r="S19" i="55" s="1"/>
  <c r="H19" i="55"/>
  <c r="F19" i="55"/>
  <c r="P18" i="55"/>
  <c r="R18" i="55" s="1"/>
  <c r="F18" i="55"/>
  <c r="I18" i="55" s="1"/>
  <c r="S17" i="55"/>
  <c r="P17" i="55"/>
  <c r="R17" i="55" s="1"/>
  <c r="F17" i="55"/>
  <c r="I17" i="55" s="1"/>
  <c r="R16" i="55"/>
  <c r="P16" i="55"/>
  <c r="F16" i="55"/>
  <c r="I16" i="55" s="1"/>
  <c r="S15" i="55"/>
  <c r="P15" i="55"/>
  <c r="R15" i="55" s="1"/>
  <c r="I15" i="55"/>
  <c r="H15" i="55"/>
  <c r="F15" i="55"/>
  <c r="P14" i="55"/>
  <c r="F14" i="55"/>
  <c r="I14" i="55" s="1"/>
  <c r="P13" i="55"/>
  <c r="S13" i="55" s="1"/>
  <c r="F13" i="55"/>
  <c r="I13" i="55" s="1"/>
  <c r="P12" i="55"/>
  <c r="S12" i="55" s="1"/>
  <c r="H12" i="55"/>
  <c r="F12" i="55"/>
  <c r="I12" i="55" s="1"/>
  <c r="R11" i="55"/>
  <c r="P11" i="55"/>
  <c r="H11" i="55"/>
  <c r="F11" i="55"/>
  <c r="P10" i="55"/>
  <c r="S10" i="55" s="1"/>
  <c r="F10" i="55"/>
  <c r="I10" i="55" s="1"/>
  <c r="S9" i="55"/>
  <c r="R9" i="55"/>
  <c r="P9" i="55"/>
  <c r="F9" i="55"/>
  <c r="I9" i="55" s="1"/>
  <c r="S8" i="55"/>
  <c r="R8" i="55"/>
  <c r="P8" i="55"/>
  <c r="H8" i="55"/>
  <c r="F8" i="55"/>
  <c r="I8" i="55" s="1"/>
  <c r="S7" i="55"/>
  <c r="R7" i="55"/>
  <c r="P7" i="55"/>
  <c r="M29" i="13"/>
  <c r="I29" i="13"/>
  <c r="B29" i="13"/>
  <c r="M28" i="13"/>
  <c r="I28" i="13"/>
  <c r="B28" i="13"/>
  <c r="M27" i="13"/>
  <c r="I27" i="13"/>
  <c r="B27" i="13"/>
  <c r="M26" i="13"/>
  <c r="I26" i="13"/>
  <c r="B26" i="13"/>
  <c r="M25" i="13"/>
  <c r="I25" i="13"/>
  <c r="B25" i="13"/>
  <c r="M24" i="13"/>
  <c r="I24" i="13"/>
  <c r="B24" i="13"/>
  <c r="M23" i="13"/>
  <c r="I23" i="13"/>
  <c r="B23" i="13"/>
  <c r="M22" i="13"/>
  <c r="I22" i="13"/>
  <c r="B22" i="13"/>
  <c r="M21" i="13"/>
  <c r="I21" i="13"/>
  <c r="B21" i="13"/>
  <c r="M20" i="13"/>
  <c r="I20" i="13"/>
  <c r="B20" i="13"/>
  <c r="M19" i="13"/>
  <c r="I19" i="13"/>
  <c r="B19" i="13"/>
  <c r="M18" i="13"/>
  <c r="I18" i="13"/>
  <c r="B18" i="13"/>
  <c r="M17" i="13"/>
  <c r="I17" i="13"/>
  <c r="B17" i="13"/>
  <c r="M16" i="13"/>
  <c r="I16" i="13"/>
  <c r="B16" i="13"/>
  <c r="M15" i="13"/>
  <c r="I15" i="13"/>
  <c r="B15" i="13"/>
  <c r="M14" i="13"/>
  <c r="I14" i="13"/>
  <c r="B14" i="13"/>
  <c r="M13" i="13"/>
  <c r="I13" i="13"/>
  <c r="B13" i="13"/>
  <c r="M12" i="13"/>
  <c r="I12" i="13"/>
  <c r="B12" i="13"/>
  <c r="M11" i="13"/>
  <c r="I11" i="13"/>
  <c r="B11" i="13"/>
  <c r="M10" i="13"/>
  <c r="I10" i="13"/>
  <c r="B10" i="13"/>
  <c r="M9" i="13"/>
  <c r="I9" i="13"/>
  <c r="B9" i="13"/>
  <c r="M8" i="13"/>
  <c r="I8" i="13"/>
  <c r="B8" i="13"/>
  <c r="M7" i="13"/>
  <c r="I7" i="13"/>
  <c r="B7" i="13"/>
  <c r="M6" i="13"/>
  <c r="I6" i="13"/>
  <c r="B6" i="13"/>
  <c r="M5" i="13"/>
  <c r="I5" i="13"/>
  <c r="B5" i="13"/>
  <c r="M4" i="13"/>
  <c r="I4" i="13"/>
  <c r="B4" i="13"/>
  <c r="M3" i="13"/>
  <c r="I3" i="13"/>
  <c r="B3" i="13"/>
  <c r="AJ26" i="9"/>
  <c r="AI26" i="9"/>
  <c r="AH26" i="9"/>
  <c r="AG26" i="9"/>
  <c r="AF26" i="9"/>
  <c r="AE26" i="9"/>
  <c r="AD26" i="9"/>
  <c r="AC26" i="9"/>
  <c r="AB26" i="9"/>
  <c r="AA26" i="9"/>
  <c r="Z26" i="9"/>
  <c r="Y26" i="9"/>
  <c r="X26" i="9"/>
  <c r="W26" i="9"/>
  <c r="V26" i="9"/>
  <c r="AJ25" i="9"/>
  <c r="AI25" i="9"/>
  <c r="AH25" i="9"/>
  <c r="AG25" i="9"/>
  <c r="AF25" i="9"/>
  <c r="AE25" i="9"/>
  <c r="AD25" i="9"/>
  <c r="AC25" i="9"/>
  <c r="AB25" i="9"/>
  <c r="AA25" i="9"/>
  <c r="Z25" i="9"/>
  <c r="Y25" i="9"/>
  <c r="X25" i="9"/>
  <c r="W25" i="9"/>
  <c r="V25" i="9"/>
  <c r="AJ24" i="9"/>
  <c r="AI24" i="9"/>
  <c r="AH24" i="9"/>
  <c r="AG24" i="9"/>
  <c r="AF24" i="9"/>
  <c r="AE24" i="9"/>
  <c r="AD24" i="9"/>
  <c r="AC24" i="9"/>
  <c r="AB24" i="9"/>
  <c r="AA24" i="9"/>
  <c r="Z24" i="9"/>
  <c r="Y24" i="9"/>
  <c r="X24" i="9"/>
  <c r="W24" i="9"/>
  <c r="V24" i="9"/>
  <c r="AJ23" i="9"/>
  <c r="AI23" i="9"/>
  <c r="AH23" i="9"/>
  <c r="AG23" i="9"/>
  <c r="AF23" i="9"/>
  <c r="AE23" i="9"/>
  <c r="AD23" i="9"/>
  <c r="AC23" i="9"/>
  <c r="AB23" i="9"/>
  <c r="AA23" i="9"/>
  <c r="Z23" i="9"/>
  <c r="Y23" i="9"/>
  <c r="X23" i="9"/>
  <c r="W23" i="9"/>
  <c r="V23" i="9"/>
  <c r="AJ22" i="9"/>
  <c r="AI22" i="9"/>
  <c r="AH22" i="9"/>
  <c r="AG22" i="9"/>
  <c r="AF22" i="9"/>
  <c r="AE22" i="9"/>
  <c r="AD22" i="9"/>
  <c r="AC22" i="9"/>
  <c r="AB22" i="9"/>
  <c r="AA22" i="9"/>
  <c r="Z22" i="9"/>
  <c r="Y22" i="9"/>
  <c r="X22" i="9"/>
  <c r="W22" i="9"/>
  <c r="V22" i="9"/>
  <c r="AJ20" i="9"/>
  <c r="AI20" i="9"/>
  <c r="AH20" i="9"/>
  <c r="AG20" i="9"/>
  <c r="AF20" i="9"/>
  <c r="AE20" i="9"/>
  <c r="AD20" i="9"/>
  <c r="AC20" i="9"/>
  <c r="AB20" i="9"/>
  <c r="AA20" i="9"/>
  <c r="Z20" i="9"/>
  <c r="Y20" i="9"/>
  <c r="X20" i="9"/>
  <c r="W20" i="9"/>
  <c r="V20" i="9"/>
  <c r="AJ19" i="9"/>
  <c r="AI19" i="9"/>
  <c r="AH19" i="9"/>
  <c r="AG19" i="9"/>
  <c r="AF19" i="9"/>
  <c r="AE19" i="9"/>
  <c r="AD19" i="9"/>
  <c r="AC19" i="9"/>
  <c r="AB19" i="9"/>
  <c r="AA19" i="9"/>
  <c r="Z19" i="9"/>
  <c r="Y19" i="9"/>
  <c r="X19" i="9"/>
  <c r="W19" i="9"/>
  <c r="V19" i="9"/>
  <c r="AJ18" i="9"/>
  <c r="AI18" i="9"/>
  <c r="AH18" i="9"/>
  <c r="AG18" i="9"/>
  <c r="AF18" i="9"/>
  <c r="AE18" i="9"/>
  <c r="AD18" i="9"/>
  <c r="AC18" i="9"/>
  <c r="AB18" i="9"/>
  <c r="AA18" i="9"/>
  <c r="Z18" i="9"/>
  <c r="Y18" i="9"/>
  <c r="X18" i="9"/>
  <c r="W18" i="9"/>
  <c r="V18" i="9"/>
  <c r="AJ17" i="9"/>
  <c r="AI17" i="9"/>
  <c r="AH17" i="9"/>
  <c r="AG17" i="9"/>
  <c r="AF17" i="9"/>
  <c r="AE17" i="9"/>
  <c r="AD17" i="9"/>
  <c r="AC17" i="9"/>
  <c r="AB17" i="9"/>
  <c r="AA17" i="9"/>
  <c r="Z17" i="9"/>
  <c r="Y17" i="9"/>
  <c r="X17" i="9"/>
  <c r="W17" i="9"/>
  <c r="V17" i="9"/>
  <c r="AJ16" i="9"/>
  <c r="AI16" i="9"/>
  <c r="AH16" i="9"/>
  <c r="AG16" i="9"/>
  <c r="AF16" i="9"/>
  <c r="AE16" i="9"/>
  <c r="AD16" i="9"/>
  <c r="AC16" i="9"/>
  <c r="AB16" i="9"/>
  <c r="AA16" i="9"/>
  <c r="Z16" i="9"/>
  <c r="Y16" i="9"/>
  <c r="X16" i="9"/>
  <c r="W16" i="9"/>
  <c r="V16" i="9"/>
  <c r="AJ14" i="9"/>
  <c r="AI14" i="9"/>
  <c r="AH14" i="9"/>
  <c r="AG14" i="9"/>
  <c r="AF14" i="9"/>
  <c r="AE14" i="9"/>
  <c r="AD14" i="9"/>
  <c r="AC14" i="9"/>
  <c r="AB14" i="9"/>
  <c r="AA14" i="9"/>
  <c r="Z14" i="9"/>
  <c r="Y14" i="9"/>
  <c r="X14" i="9"/>
  <c r="W14" i="9"/>
  <c r="V14" i="9"/>
  <c r="AJ13" i="9"/>
  <c r="AI13" i="9"/>
  <c r="AH13" i="9"/>
  <c r="AG13" i="9"/>
  <c r="AF13" i="9"/>
  <c r="AE13" i="9"/>
  <c r="AD13" i="9"/>
  <c r="AC13" i="9"/>
  <c r="AB13" i="9"/>
  <c r="AA13" i="9"/>
  <c r="Z13" i="9"/>
  <c r="Y13" i="9"/>
  <c r="X13" i="9"/>
  <c r="W13" i="9"/>
  <c r="V13" i="9"/>
  <c r="AJ12" i="9"/>
  <c r="AI12" i="9"/>
  <c r="AH12" i="9"/>
  <c r="AG12" i="9"/>
  <c r="AF12" i="9"/>
  <c r="AE12" i="9"/>
  <c r="AD12" i="9"/>
  <c r="AC12" i="9"/>
  <c r="AB12" i="9"/>
  <c r="AA12" i="9"/>
  <c r="Z12" i="9"/>
  <c r="Y12" i="9"/>
  <c r="X12" i="9"/>
  <c r="W12" i="9"/>
  <c r="V12" i="9"/>
  <c r="AJ11" i="9"/>
  <c r="AI11" i="9"/>
  <c r="AH11" i="9"/>
  <c r="AG11" i="9"/>
  <c r="AF11" i="9"/>
  <c r="AE11" i="9"/>
  <c r="AD11" i="9"/>
  <c r="AC11" i="9"/>
  <c r="AB11" i="9"/>
  <c r="AA11" i="9"/>
  <c r="Z11" i="9"/>
  <c r="Y11" i="9"/>
  <c r="X11" i="9"/>
  <c r="W11" i="9"/>
  <c r="V11" i="9"/>
  <c r="R11" i="9"/>
  <c r="Q11" i="9"/>
  <c r="P11" i="9"/>
  <c r="O11" i="9"/>
  <c r="N11" i="9"/>
  <c r="M11" i="9"/>
  <c r="L11" i="9"/>
  <c r="K11" i="9"/>
  <c r="J11" i="9"/>
  <c r="I11" i="9"/>
  <c r="H11" i="9"/>
  <c r="G11" i="9"/>
  <c r="F11" i="9"/>
  <c r="E11" i="9"/>
  <c r="D11" i="9"/>
  <c r="AJ10" i="9"/>
  <c r="AI10" i="9"/>
  <c r="AH10" i="9"/>
  <c r="AG10" i="9"/>
  <c r="AF10" i="9"/>
  <c r="AE10" i="9"/>
  <c r="AD10" i="9"/>
  <c r="AC10" i="9"/>
  <c r="AB10" i="9"/>
  <c r="AA10" i="9"/>
  <c r="Z10" i="9"/>
  <c r="Y10" i="9"/>
  <c r="X10" i="9"/>
  <c r="W10" i="9"/>
  <c r="V10" i="9"/>
  <c r="R10" i="9"/>
  <c r="Q10" i="9"/>
  <c r="P10" i="9"/>
  <c r="O10" i="9"/>
  <c r="N10" i="9"/>
  <c r="M10" i="9"/>
  <c r="L10" i="9"/>
  <c r="K10" i="9"/>
  <c r="J10" i="9"/>
  <c r="I10" i="9"/>
  <c r="H10" i="9"/>
  <c r="G10" i="9"/>
  <c r="F10" i="9"/>
  <c r="E10" i="9"/>
  <c r="D10" i="9"/>
  <c r="R9" i="9"/>
  <c r="Q9" i="9"/>
  <c r="P9" i="9"/>
  <c r="O9" i="9"/>
  <c r="N9" i="9"/>
  <c r="M9" i="9"/>
  <c r="L9" i="9"/>
  <c r="K9" i="9"/>
  <c r="J9" i="9"/>
  <c r="I9" i="9"/>
  <c r="H9" i="9"/>
  <c r="G9" i="9"/>
  <c r="F9" i="9"/>
  <c r="E9" i="9"/>
  <c r="D9" i="9"/>
  <c r="AJ8" i="9"/>
  <c r="AI8" i="9"/>
  <c r="AH8" i="9"/>
  <c r="AG8" i="9"/>
  <c r="AF8" i="9"/>
  <c r="AE8" i="9"/>
  <c r="AD8" i="9"/>
  <c r="AC8" i="9"/>
  <c r="AB8" i="9"/>
  <c r="AA8" i="9"/>
  <c r="Z8" i="9"/>
  <c r="Y8" i="9"/>
  <c r="X8" i="9"/>
  <c r="W8" i="9"/>
  <c r="V8" i="9"/>
  <c r="R8" i="9"/>
  <c r="Q8" i="9"/>
  <c r="P8" i="9"/>
  <c r="O8" i="9"/>
  <c r="N8" i="9"/>
  <c r="M8" i="9"/>
  <c r="L8" i="9"/>
  <c r="K8" i="9"/>
  <c r="J8" i="9"/>
  <c r="I8" i="9"/>
  <c r="H8" i="9"/>
  <c r="G8" i="9"/>
  <c r="F8" i="9"/>
  <c r="E8" i="9"/>
  <c r="AJ7" i="9"/>
  <c r="AI7" i="9"/>
  <c r="AH7" i="9"/>
  <c r="AG7" i="9"/>
  <c r="AF7" i="9"/>
  <c r="AE7" i="9"/>
  <c r="AD7" i="9"/>
  <c r="AC7" i="9"/>
  <c r="AB7" i="9"/>
  <c r="AA7" i="9"/>
  <c r="Z7" i="9"/>
  <c r="Y7" i="9"/>
  <c r="X7" i="9"/>
  <c r="W7" i="9"/>
  <c r="V7" i="9"/>
  <c r="R7" i="9"/>
  <c r="Q7" i="9"/>
  <c r="P7" i="9"/>
  <c r="O7" i="9"/>
  <c r="N7" i="9"/>
  <c r="M7" i="9"/>
  <c r="L7" i="9"/>
  <c r="K7" i="9"/>
  <c r="J7" i="9"/>
  <c r="I7" i="9"/>
  <c r="H7" i="9"/>
  <c r="G7" i="9"/>
  <c r="F7" i="9"/>
  <c r="E7" i="9"/>
  <c r="D7" i="9"/>
  <c r="AJ6" i="9"/>
  <c r="AI6" i="9"/>
  <c r="AH6" i="9"/>
  <c r="AG6" i="9"/>
  <c r="AF6" i="9"/>
  <c r="AE6" i="9"/>
  <c r="AD6" i="9"/>
  <c r="AC6" i="9"/>
  <c r="AB6" i="9"/>
  <c r="AA6" i="9"/>
  <c r="Z6" i="9"/>
  <c r="Y6" i="9"/>
  <c r="X6" i="9"/>
  <c r="W6" i="9"/>
  <c r="V6" i="9"/>
  <c r="R6" i="9"/>
  <c r="Q6" i="9"/>
  <c r="P6" i="9"/>
  <c r="O6" i="9"/>
  <c r="N6" i="9"/>
  <c r="M6" i="9"/>
  <c r="L6" i="9"/>
  <c r="K6" i="9"/>
  <c r="J6" i="9"/>
  <c r="I6" i="9"/>
  <c r="H6" i="9"/>
  <c r="G6" i="9"/>
  <c r="F6" i="9"/>
  <c r="E6" i="9"/>
  <c r="D6" i="9"/>
  <c r="AJ5" i="9"/>
  <c r="AI5" i="9"/>
  <c r="AH5" i="9"/>
  <c r="AG5" i="9"/>
  <c r="AF5" i="9"/>
  <c r="AE5" i="9"/>
  <c r="AD5" i="9"/>
  <c r="AC5" i="9"/>
  <c r="AB5" i="9"/>
  <c r="AA5" i="9"/>
  <c r="Z5" i="9"/>
  <c r="Y5" i="9"/>
  <c r="X5" i="9"/>
  <c r="W5" i="9"/>
  <c r="V5" i="9"/>
  <c r="R5" i="9"/>
  <c r="Q5" i="9"/>
  <c r="P5" i="9"/>
  <c r="O5" i="9"/>
  <c r="N5" i="9"/>
  <c r="M5" i="9"/>
  <c r="L5" i="9"/>
  <c r="K5" i="9"/>
  <c r="J5" i="9"/>
  <c r="I5" i="9"/>
  <c r="H5" i="9"/>
  <c r="G5" i="9"/>
  <c r="F5" i="9"/>
  <c r="E5" i="9"/>
  <c r="D5" i="9"/>
  <c r="AJ4" i="9"/>
  <c r="AI4" i="9"/>
  <c r="AH4" i="9"/>
  <c r="AG4" i="9"/>
  <c r="AF4" i="9"/>
  <c r="AE4" i="9"/>
  <c r="AD4" i="9"/>
  <c r="AC4" i="9"/>
  <c r="AB4" i="9"/>
  <c r="AA4" i="9"/>
  <c r="Z4" i="9"/>
  <c r="Y4" i="9"/>
  <c r="X4" i="9"/>
  <c r="W4" i="9"/>
  <c r="V4" i="9"/>
  <c r="R4" i="9"/>
  <c r="Q4" i="9"/>
  <c r="P4" i="9"/>
  <c r="O4" i="9"/>
  <c r="N4" i="9"/>
  <c r="M4" i="9"/>
  <c r="L4" i="9"/>
  <c r="K4" i="9"/>
  <c r="J4" i="9"/>
  <c r="I4" i="9"/>
  <c r="H4" i="9"/>
  <c r="G4" i="9"/>
  <c r="F4" i="9"/>
  <c r="E4" i="9"/>
  <c r="L11" i="46"/>
  <c r="A11" i="46"/>
  <c r="F23" i="80"/>
  <c r="X6" i="53"/>
  <c r="R6" i="53"/>
  <c r="I6" i="53"/>
  <c r="I3" i="53"/>
  <c r="I1" i="53"/>
  <c r="U35" i="52"/>
  <c r="AD19" i="52"/>
  <c r="AD18" i="52"/>
  <c r="AD16" i="52"/>
  <c r="AU5" i="52"/>
  <c r="BJ4" i="52"/>
  <c r="BH4" i="52"/>
  <c r="BD4" i="52"/>
  <c r="AP4" i="52"/>
  <c r="AE4" i="52"/>
  <c r="AB4" i="52"/>
  <c r="BL3" i="52"/>
  <c r="AY3" i="52"/>
  <c r="AW3" i="52"/>
  <c r="T31" i="51"/>
  <c r="BC29" i="51"/>
  <c r="AL29" i="51"/>
  <c r="BC28" i="51"/>
  <c r="AL28" i="51"/>
  <c r="BC27" i="51"/>
  <c r="AL27" i="51"/>
  <c r="A27" i="51" s="1"/>
  <c r="BC26" i="51"/>
  <c r="AL26" i="51"/>
  <c r="A26" i="51"/>
  <c r="BC25" i="51"/>
  <c r="AL25" i="51"/>
  <c r="A25" i="51"/>
  <c r="BC24" i="51"/>
  <c r="AL24" i="51"/>
  <c r="A24" i="51"/>
  <c r="BC23" i="51"/>
  <c r="AL23" i="51"/>
  <c r="A23" i="51"/>
  <c r="BC22" i="51"/>
  <c r="AL22" i="51"/>
  <c r="A22" i="51"/>
  <c r="BC20" i="51"/>
  <c r="AL20" i="51"/>
  <c r="BC19" i="51"/>
  <c r="AL19" i="51"/>
  <c r="BC18" i="51"/>
  <c r="AL18" i="51"/>
  <c r="BC17" i="51"/>
  <c r="AL17" i="51"/>
  <c r="A17" i="51" s="1"/>
  <c r="AL16" i="51"/>
  <c r="S6" i="51"/>
  <c r="P6" i="51"/>
  <c r="G6" i="51"/>
  <c r="BC5" i="51"/>
  <c r="BR4" i="51"/>
  <c r="BP4" i="51"/>
  <c r="BN4" i="51"/>
  <c r="BL4" i="51"/>
  <c r="BJ4" i="51"/>
  <c r="BC4" i="51"/>
  <c r="AX4" i="51"/>
  <c r="AV4" i="51"/>
  <c r="AQ4" i="51"/>
  <c r="AO4" i="51"/>
  <c r="AM4" i="51"/>
  <c r="AJ4" i="51"/>
  <c r="BT3" i="51"/>
  <c r="BG3" i="51"/>
  <c r="BE3" i="51"/>
  <c r="G3" i="51"/>
  <c r="G1" i="51"/>
  <c r="BE29" i="29"/>
  <c r="BE28" i="29"/>
  <c r="BE27" i="29"/>
  <c r="A27" i="29" s="1"/>
  <c r="C27" i="29"/>
  <c r="BE26" i="29"/>
  <c r="BE16" i="29"/>
  <c r="A16" i="29" s="1"/>
  <c r="C16" i="29"/>
  <c r="BE15" i="29"/>
  <c r="BE14" i="29"/>
  <c r="C38" i="50"/>
  <c r="AC27" i="50"/>
  <c r="M27" i="50"/>
  <c r="AC26" i="50"/>
  <c r="D26" i="50"/>
  <c r="AC25" i="50"/>
  <c r="AC24" i="50"/>
  <c r="AC23" i="50"/>
  <c r="AC21" i="50"/>
  <c r="AC20" i="50"/>
  <c r="AC19" i="50"/>
  <c r="AC18" i="50"/>
  <c r="AC17" i="50"/>
  <c r="AC16" i="50"/>
  <c r="AC15" i="50"/>
  <c r="AC14" i="50"/>
  <c r="U70" i="10"/>
  <c r="S56" i="10" s="1"/>
  <c r="V56" i="10" s="1"/>
  <c r="P70" i="10"/>
  <c r="Q70" i="10" s="1"/>
  <c r="N56" i="10" s="1"/>
  <c r="Q56" i="10" s="1"/>
  <c r="P56" i="10" s="1"/>
  <c r="U69" i="10"/>
  <c r="P69" i="10"/>
  <c r="Q69" i="10" s="1"/>
  <c r="N55" i="10" s="1"/>
  <c r="Q55" i="10" s="1"/>
  <c r="K69" i="10"/>
  <c r="J55" i="10" s="1"/>
  <c r="F69" i="10"/>
  <c r="U68" i="10"/>
  <c r="P68" i="10"/>
  <c r="Q68" i="10" s="1"/>
  <c r="N54" i="10" s="1"/>
  <c r="Q54" i="10" s="1"/>
  <c r="P54" i="10" s="1"/>
  <c r="K68" i="10"/>
  <c r="L68" i="10" s="1"/>
  <c r="I54" i="10" s="1"/>
  <c r="L54" i="10" s="1"/>
  <c r="F68" i="10"/>
  <c r="E54" i="10" s="1"/>
  <c r="U67" i="10"/>
  <c r="S53" i="10" s="1"/>
  <c r="V53" i="10" s="1"/>
  <c r="AA53" i="10" s="1"/>
  <c r="P67" i="10"/>
  <c r="Q67" i="10" s="1"/>
  <c r="N53" i="10" s="1"/>
  <c r="Q53" i="10" s="1"/>
  <c r="K67" i="10"/>
  <c r="L67" i="10" s="1"/>
  <c r="I53" i="10" s="1"/>
  <c r="F67" i="10"/>
  <c r="G67" i="10" s="1"/>
  <c r="D53" i="10" s="1"/>
  <c r="U66" i="10"/>
  <c r="P66" i="10"/>
  <c r="O52" i="10" s="1"/>
  <c r="K66" i="10"/>
  <c r="L66" i="10" s="1"/>
  <c r="I52" i="10" s="1"/>
  <c r="L52" i="10" s="1"/>
  <c r="F66" i="10"/>
  <c r="E52" i="10" s="1"/>
  <c r="U65" i="10"/>
  <c r="S51" i="10" s="1"/>
  <c r="V51" i="10" s="1"/>
  <c r="AA51" i="10" s="1"/>
  <c r="P65" i="10"/>
  <c r="K65" i="10"/>
  <c r="L65" i="10" s="1"/>
  <c r="I51" i="10" s="1"/>
  <c r="L51" i="10" s="1"/>
  <c r="F65" i="10"/>
  <c r="G65" i="10" s="1"/>
  <c r="D51" i="10" s="1"/>
  <c r="G51" i="10" s="1"/>
  <c r="U64" i="10"/>
  <c r="P64" i="10"/>
  <c r="Q64" i="10" s="1"/>
  <c r="N50" i="10" s="1"/>
  <c r="Q50" i="10" s="1"/>
  <c r="P50" i="10" s="1"/>
  <c r="K64" i="10"/>
  <c r="L64" i="10" s="1"/>
  <c r="I50" i="10" s="1"/>
  <c r="L50" i="10" s="1"/>
  <c r="F64" i="10"/>
  <c r="G64" i="10" s="1"/>
  <c r="D50" i="10" s="1"/>
  <c r="G50" i="10" s="1"/>
  <c r="F50" i="10" s="1"/>
  <c r="U63" i="10"/>
  <c r="S49" i="10" s="1"/>
  <c r="V49" i="10" s="1"/>
  <c r="AA49" i="10" s="1"/>
  <c r="P63" i="10"/>
  <c r="Q63" i="10" s="1"/>
  <c r="N49" i="10" s="1"/>
  <c r="Q49" i="10" s="1"/>
  <c r="K63" i="10"/>
  <c r="L63" i="10" s="1"/>
  <c r="I49" i="10" s="1"/>
  <c r="L49" i="10" s="1"/>
  <c r="F63" i="10"/>
  <c r="G63" i="10" s="1"/>
  <c r="D49" i="10" s="1"/>
  <c r="G49" i="10" s="1"/>
  <c r="P62" i="10"/>
  <c r="Q62" i="10" s="1"/>
  <c r="N48" i="10" s="1"/>
  <c r="Q48" i="10" s="1"/>
  <c r="P48" i="10" s="1"/>
  <c r="K62" i="10"/>
  <c r="L62" i="10" s="1"/>
  <c r="I48" i="10" s="1"/>
  <c r="L48" i="10" s="1"/>
  <c r="F62" i="10"/>
  <c r="U61" i="10"/>
  <c r="S47" i="10" s="1"/>
  <c r="V47" i="10" s="1"/>
  <c r="P61" i="10"/>
  <c r="Q61" i="10" s="1"/>
  <c r="N47" i="10" s="1"/>
  <c r="Q47" i="10" s="1"/>
  <c r="K61" i="10"/>
  <c r="L61" i="10" s="1"/>
  <c r="I47" i="10" s="1"/>
  <c r="L47" i="10" s="1"/>
  <c r="F61" i="10"/>
  <c r="G61" i="10" s="1"/>
  <c r="D47" i="10" s="1"/>
  <c r="G47" i="10" s="1"/>
  <c r="U60" i="10"/>
  <c r="S46" i="10" s="1"/>
  <c r="V46" i="10" s="1"/>
  <c r="P60" i="10"/>
  <c r="Q60" i="10" s="1"/>
  <c r="N46" i="10" s="1"/>
  <c r="Q46" i="10" s="1"/>
  <c r="K60" i="10"/>
  <c r="L60" i="10" s="1"/>
  <c r="I46" i="10" s="1"/>
  <c r="L46" i="10" s="1"/>
  <c r="F60" i="10"/>
  <c r="E46" i="10" s="1"/>
  <c r="Z57" i="10"/>
  <c r="Y57" i="10"/>
  <c r="X57" i="10"/>
  <c r="S57" i="10"/>
  <c r="V57" i="10" s="1"/>
  <c r="K57" i="10"/>
  <c r="Y56" i="10"/>
  <c r="X56" i="10"/>
  <c r="O56" i="10"/>
  <c r="K56" i="10"/>
  <c r="V55" i="10"/>
  <c r="AA55" i="10" s="1"/>
  <c r="S55" i="10"/>
  <c r="O55" i="10"/>
  <c r="S54" i="10"/>
  <c r="V54" i="10" s="1"/>
  <c r="U53" i="10"/>
  <c r="O53" i="10"/>
  <c r="E53" i="10"/>
  <c r="S52" i="10"/>
  <c r="V52" i="10" s="1"/>
  <c r="U51" i="10"/>
  <c r="J51" i="10"/>
  <c r="E51" i="10"/>
  <c r="E11" i="10" s="1"/>
  <c r="Z50" i="10"/>
  <c r="S50" i="10"/>
  <c r="V50" i="10" s="1"/>
  <c r="U49" i="10"/>
  <c r="O49" i="10"/>
  <c r="E49" i="10"/>
  <c r="Z48" i="10"/>
  <c r="S48" i="10"/>
  <c r="V48" i="10" s="1"/>
  <c r="O48" i="10"/>
  <c r="O46" i="10"/>
  <c r="N36" i="10"/>
  <c r="N35" i="10"/>
  <c r="N34" i="10"/>
  <c r="N33" i="10"/>
  <c r="N32" i="10"/>
  <c r="N31" i="10"/>
  <c r="N30" i="10"/>
  <c r="N29" i="10"/>
  <c r="N28" i="10"/>
  <c r="N27" i="10"/>
  <c r="N26" i="10"/>
  <c r="C19" i="10"/>
  <c r="B19" i="10" s="1"/>
  <c r="C18" i="10"/>
  <c r="C17" i="10"/>
  <c r="AA17" i="10" s="1"/>
  <c r="C16" i="10"/>
  <c r="T16" i="10" s="1"/>
  <c r="C15" i="10"/>
  <c r="V15" i="10" s="1"/>
  <c r="C14" i="10"/>
  <c r="T14" i="10" s="1"/>
  <c r="C13" i="10"/>
  <c r="C12" i="10"/>
  <c r="T12" i="10" s="1"/>
  <c r="W11" i="10"/>
  <c r="C11" i="10"/>
  <c r="V11" i="10" s="1"/>
  <c r="C10" i="10"/>
  <c r="W10" i="10" s="1"/>
  <c r="C9" i="10"/>
  <c r="C8" i="10"/>
  <c r="S8" i="10" s="1"/>
  <c r="X6" i="32"/>
  <c r="R6" i="32"/>
  <c r="I6" i="32"/>
  <c r="I3" i="32"/>
  <c r="I1" i="32"/>
  <c r="CD155" i="7"/>
  <c r="B155" i="7" s="1"/>
  <c r="CD154" i="7"/>
  <c r="B154" i="7" s="1"/>
  <c r="CD153" i="7"/>
  <c r="B153" i="7" s="1"/>
  <c r="CD152" i="7"/>
  <c r="B152" i="7" s="1"/>
  <c r="CD151" i="7"/>
  <c r="B151" i="7" s="1"/>
  <c r="CD150" i="7"/>
  <c r="B150" i="7" s="1"/>
  <c r="CD149" i="7"/>
  <c r="B149" i="7" s="1"/>
  <c r="CD148" i="7"/>
  <c r="B148" i="7" s="1"/>
  <c r="CD147" i="7"/>
  <c r="B147" i="7" s="1"/>
  <c r="CD146" i="7"/>
  <c r="B146" i="7" s="1"/>
  <c r="CD145" i="7"/>
  <c r="B145" i="7" s="1"/>
  <c r="CD144" i="7"/>
  <c r="B144" i="7" s="1"/>
  <c r="CD143" i="7"/>
  <c r="B143" i="7" s="1"/>
  <c r="CD142" i="7"/>
  <c r="B142" i="7" s="1"/>
  <c r="CD141" i="7"/>
  <c r="B141" i="7" s="1"/>
  <c r="CD140" i="7"/>
  <c r="B140" i="7" s="1"/>
  <c r="CD139" i="7"/>
  <c r="B139" i="7" s="1"/>
  <c r="CD138" i="7"/>
  <c r="B138" i="7" s="1"/>
  <c r="CD137" i="7"/>
  <c r="B137" i="7" s="1"/>
  <c r="CD136" i="7"/>
  <c r="B136" i="7" s="1"/>
  <c r="CD135" i="7"/>
  <c r="B135" i="7" s="1"/>
  <c r="CD134" i="7"/>
  <c r="B134" i="7" s="1"/>
  <c r="CD133" i="7"/>
  <c r="B133" i="7" s="1"/>
  <c r="CD132" i="7"/>
  <c r="B132" i="7" s="1"/>
  <c r="CD131" i="7"/>
  <c r="B131" i="7" s="1"/>
  <c r="CD130" i="7"/>
  <c r="B130" i="7" s="1"/>
  <c r="CD129" i="7"/>
  <c r="B129" i="7" s="1"/>
  <c r="CD128" i="7"/>
  <c r="B128" i="7" s="1"/>
  <c r="CD127" i="7"/>
  <c r="B127" i="7" s="1"/>
  <c r="CD126" i="7"/>
  <c r="B126" i="7" s="1"/>
  <c r="CD125" i="7"/>
  <c r="B125" i="7" s="1"/>
  <c r="CD124" i="7"/>
  <c r="B124" i="7" s="1"/>
  <c r="CD123" i="7"/>
  <c r="B123" i="7" s="1"/>
  <c r="CD122" i="7"/>
  <c r="B122" i="7" s="1"/>
  <c r="CD121" i="7"/>
  <c r="B121" i="7" s="1"/>
  <c r="CD120" i="7"/>
  <c r="B120" i="7" s="1"/>
  <c r="CD119" i="7"/>
  <c r="B119" i="7" s="1"/>
  <c r="CD118" i="7"/>
  <c r="B118" i="7" s="1"/>
  <c r="CD117" i="7"/>
  <c r="B117" i="7" s="1"/>
  <c r="CD116" i="7"/>
  <c r="B116" i="7" s="1"/>
  <c r="CD115" i="7"/>
  <c r="B115" i="7" s="1"/>
  <c r="CD114" i="7"/>
  <c r="B114" i="7" s="1"/>
  <c r="CD113" i="7"/>
  <c r="B113" i="7" s="1"/>
  <c r="CD112" i="7"/>
  <c r="B112" i="7" s="1"/>
  <c r="CD111" i="7"/>
  <c r="B111" i="7" s="1"/>
  <c r="CD110" i="7"/>
  <c r="B110" i="7" s="1"/>
  <c r="CD109" i="7"/>
  <c r="B109" i="7" s="1"/>
  <c r="CD108" i="7"/>
  <c r="B108" i="7" s="1"/>
  <c r="CD107" i="7"/>
  <c r="B107" i="7" s="1"/>
  <c r="CD106" i="7"/>
  <c r="B106" i="7" s="1"/>
  <c r="CD105" i="7"/>
  <c r="B105" i="7" s="1"/>
  <c r="CD104" i="7"/>
  <c r="B104" i="7" s="1"/>
  <c r="CD103" i="7"/>
  <c r="B103" i="7" s="1"/>
  <c r="CD102" i="7"/>
  <c r="B102" i="7" s="1"/>
  <c r="CD101" i="7"/>
  <c r="B101" i="7" s="1"/>
  <c r="CD100" i="7"/>
  <c r="B100" i="7" s="1"/>
  <c r="CD99" i="7"/>
  <c r="B99" i="7" s="1"/>
  <c r="CD98" i="7"/>
  <c r="B98" i="7" s="1"/>
  <c r="CD97" i="7"/>
  <c r="B97" i="7" s="1"/>
  <c r="CD96" i="7"/>
  <c r="B96" i="7" s="1"/>
  <c r="CD95" i="7"/>
  <c r="B95" i="7" s="1"/>
  <c r="CD94" i="7"/>
  <c r="B94" i="7" s="1"/>
  <c r="CD93" i="7"/>
  <c r="B93" i="7" s="1"/>
  <c r="CD92" i="7"/>
  <c r="B92" i="7" s="1"/>
  <c r="CD91" i="7"/>
  <c r="B91" i="7" s="1"/>
  <c r="CD90" i="7"/>
  <c r="B90" i="7" s="1"/>
  <c r="CD89" i="7"/>
  <c r="B89" i="7" s="1"/>
  <c r="CD88" i="7"/>
  <c r="B88" i="7" s="1"/>
  <c r="CD87" i="7"/>
  <c r="B87" i="7" s="1"/>
  <c r="CD86" i="7"/>
  <c r="B86" i="7" s="1"/>
  <c r="CD85" i="7"/>
  <c r="B85" i="7" s="1"/>
  <c r="CD84" i="7"/>
  <c r="B84" i="7" s="1"/>
  <c r="CD83" i="7"/>
  <c r="B83" i="7" s="1"/>
  <c r="CD82" i="7"/>
  <c r="B82" i="7" s="1"/>
  <c r="CD81" i="7"/>
  <c r="B81" i="7" s="1"/>
  <c r="CD80" i="7"/>
  <c r="B80" i="7" s="1"/>
  <c r="CD79" i="7"/>
  <c r="B79" i="7" s="1"/>
  <c r="CD78" i="7"/>
  <c r="B78" i="7" s="1"/>
  <c r="CD77" i="7"/>
  <c r="B77" i="7" s="1"/>
  <c r="CD76" i="7"/>
  <c r="B76" i="7" s="1"/>
  <c r="CD75" i="7"/>
  <c r="B75" i="7" s="1"/>
  <c r="CD74" i="7"/>
  <c r="B74" i="7" s="1"/>
  <c r="CD73" i="7"/>
  <c r="B73" i="7" s="1"/>
  <c r="CD72" i="7"/>
  <c r="B72" i="7" s="1"/>
  <c r="CD71" i="7"/>
  <c r="B71" i="7" s="1"/>
  <c r="CD70" i="7"/>
  <c r="B70" i="7" s="1"/>
  <c r="CD69" i="7"/>
  <c r="B69" i="7" s="1"/>
  <c r="CD68" i="7"/>
  <c r="B68" i="7" s="1"/>
  <c r="CD67" i="7"/>
  <c r="B67" i="7" s="1"/>
  <c r="CD66" i="7"/>
  <c r="B66" i="7" s="1"/>
  <c r="CD65" i="7"/>
  <c r="B65" i="7" s="1"/>
  <c r="CD64" i="7"/>
  <c r="B64" i="7" s="1"/>
  <c r="CD63" i="7"/>
  <c r="B63" i="7" s="1"/>
  <c r="CD62" i="7"/>
  <c r="B62" i="7" s="1"/>
  <c r="CD61" i="7"/>
  <c r="B61" i="7" s="1"/>
  <c r="CD60" i="7"/>
  <c r="B60" i="7" s="1"/>
  <c r="CD59" i="7"/>
  <c r="B59" i="7" s="1"/>
  <c r="CD58" i="7"/>
  <c r="B58" i="7" s="1"/>
  <c r="CD57" i="7"/>
  <c r="B57" i="7" s="1"/>
  <c r="CD56" i="7"/>
  <c r="B56" i="7" s="1"/>
  <c r="CD55" i="7"/>
  <c r="B55" i="7" s="1"/>
  <c r="CD54" i="7"/>
  <c r="B54" i="7" s="1"/>
  <c r="CD53" i="7"/>
  <c r="B53" i="7" s="1"/>
  <c r="CD52" i="7"/>
  <c r="B52" i="7" s="1"/>
  <c r="CD51" i="7"/>
  <c r="B51" i="7" s="1"/>
  <c r="CD50" i="7"/>
  <c r="B50" i="7" s="1"/>
  <c r="CD49" i="7"/>
  <c r="B49" i="7" s="1"/>
  <c r="CD48" i="7"/>
  <c r="B48" i="7" s="1"/>
  <c r="CD47" i="7"/>
  <c r="B47" i="7" s="1"/>
  <c r="CD46" i="7"/>
  <c r="B46" i="7" s="1"/>
  <c r="CD45" i="7"/>
  <c r="B45" i="7" s="1"/>
  <c r="CD44" i="7"/>
  <c r="B44" i="7" s="1"/>
  <c r="CD43" i="7"/>
  <c r="B43" i="7" s="1"/>
  <c r="CD42" i="7"/>
  <c r="B42" i="7" s="1"/>
  <c r="CD41" i="7"/>
  <c r="B41" i="7" s="1"/>
  <c r="CD40" i="7"/>
  <c r="B40" i="7" s="1"/>
  <c r="CD39" i="7"/>
  <c r="B39" i="7" s="1"/>
  <c r="CD38" i="7"/>
  <c r="B38" i="7" s="1"/>
  <c r="CD37" i="7"/>
  <c r="B37" i="7" s="1"/>
  <c r="CD36" i="7"/>
  <c r="B36" i="7" s="1"/>
  <c r="CD35" i="7"/>
  <c r="B35" i="7" s="1"/>
  <c r="CD34" i="7"/>
  <c r="B34" i="7" s="1"/>
  <c r="CD33" i="7"/>
  <c r="B33" i="7" s="1"/>
  <c r="CD32" i="7"/>
  <c r="B32" i="7" s="1"/>
  <c r="CD31" i="7"/>
  <c r="B31" i="7" s="1"/>
  <c r="CD30" i="7"/>
  <c r="B30" i="7" s="1"/>
  <c r="CD29" i="7"/>
  <c r="B29" i="7" s="1"/>
  <c r="C28" i="7"/>
  <c r="CD28" i="7" s="1"/>
  <c r="B28" i="7" s="1"/>
  <c r="CD27" i="7"/>
  <c r="B27" i="7" s="1"/>
  <c r="CD18" i="7"/>
  <c r="CC18" i="7"/>
  <c r="AD18" i="7" s="1"/>
  <c r="BY18" i="7"/>
  <c r="BV18" i="7"/>
  <c r="BU18" i="7"/>
  <c r="BT18" i="7"/>
  <c r="BI18" i="7"/>
  <c r="AH18" i="7"/>
  <c r="W18" i="7"/>
  <c r="B17" i="7"/>
  <c r="CD16" i="7"/>
  <c r="CD15" i="7"/>
  <c r="BE9" i="7"/>
  <c r="AE9" i="7"/>
  <c r="D127" i="35"/>
  <c r="C127" i="35"/>
  <c r="D126" i="35"/>
  <c r="C126" i="35"/>
  <c r="D125" i="35"/>
  <c r="C125" i="35"/>
  <c r="D124" i="35"/>
  <c r="C124" i="35"/>
  <c r="D123" i="35"/>
  <c r="C123" i="35"/>
  <c r="D122" i="35"/>
  <c r="C122" i="35"/>
  <c r="D121" i="35"/>
  <c r="C121" i="35"/>
  <c r="D120" i="35"/>
  <c r="C120" i="35"/>
  <c r="D119" i="35"/>
  <c r="C119" i="35"/>
  <c r="D118" i="35"/>
  <c r="C118" i="35"/>
  <c r="D117" i="35"/>
  <c r="C117" i="35"/>
  <c r="D116" i="35"/>
  <c r="C116" i="35"/>
  <c r="D115" i="35"/>
  <c r="C115" i="35"/>
  <c r="D114" i="35"/>
  <c r="C114" i="35"/>
  <c r="D113" i="35"/>
  <c r="C113" i="35"/>
  <c r="D112" i="35"/>
  <c r="C112" i="35"/>
  <c r="D111" i="35"/>
  <c r="C111" i="35"/>
  <c r="D110" i="35"/>
  <c r="C110" i="35"/>
  <c r="D109" i="35"/>
  <c r="C109" i="35"/>
  <c r="E102" i="35"/>
  <c r="E101" i="35"/>
  <c r="E100" i="35"/>
  <c r="E99" i="35"/>
  <c r="E94" i="35"/>
  <c r="E93" i="35"/>
  <c r="E92" i="35"/>
  <c r="E91" i="35"/>
  <c r="E86" i="35"/>
  <c r="E85" i="35"/>
  <c r="E84" i="35"/>
  <c r="E83" i="35"/>
  <c r="U54" i="35"/>
  <c r="R54" i="35"/>
  <c r="E54" i="35"/>
  <c r="U53" i="35"/>
  <c r="R53" i="35"/>
  <c r="E53" i="35"/>
  <c r="U52" i="35"/>
  <c r="R52" i="35"/>
  <c r="E52" i="35"/>
  <c r="U51" i="35"/>
  <c r="R51" i="35"/>
  <c r="E51" i="35"/>
  <c r="U50" i="35"/>
  <c r="R50" i="35"/>
  <c r="E50" i="35"/>
  <c r="U49" i="35"/>
  <c r="R49" i="35"/>
  <c r="E49" i="35"/>
  <c r="U48" i="35"/>
  <c r="R48" i="35"/>
  <c r="E48" i="35"/>
  <c r="U47" i="35"/>
  <c r="R47" i="35"/>
  <c r="E47" i="35"/>
  <c r="U46" i="35"/>
  <c r="R46" i="35"/>
  <c r="E46" i="35"/>
  <c r="U41" i="35"/>
  <c r="R41" i="35"/>
  <c r="E41" i="35"/>
  <c r="U40" i="35"/>
  <c r="R40" i="35"/>
  <c r="E40" i="35"/>
  <c r="U39" i="35"/>
  <c r="R39" i="35"/>
  <c r="E39" i="35"/>
  <c r="U38" i="35"/>
  <c r="R38" i="35"/>
  <c r="E38" i="35"/>
  <c r="U37" i="35"/>
  <c r="R37" i="35"/>
  <c r="E37" i="35"/>
  <c r="U36" i="35"/>
  <c r="R36" i="35"/>
  <c r="E36" i="35"/>
  <c r="U35" i="35"/>
  <c r="R35" i="35"/>
  <c r="E35" i="35"/>
  <c r="U34" i="35"/>
  <c r="R34" i="35"/>
  <c r="E34" i="35"/>
  <c r="U33" i="35"/>
  <c r="R33" i="35"/>
  <c r="E33" i="35"/>
  <c r="X28" i="35"/>
  <c r="U28" i="35"/>
  <c r="R28" i="35"/>
  <c r="H41" i="35"/>
  <c r="H54" i="35" s="1"/>
  <c r="F41" i="35"/>
  <c r="F54" i="35" s="1"/>
  <c r="E28" i="35"/>
  <c r="X27" i="35"/>
  <c r="U27" i="35"/>
  <c r="R27" i="35"/>
  <c r="H40" i="35"/>
  <c r="H53" i="35" s="1"/>
  <c r="F40" i="35"/>
  <c r="F53" i="35" s="1"/>
  <c r="E27" i="35"/>
  <c r="X26" i="35"/>
  <c r="U26" i="35"/>
  <c r="R26" i="35"/>
  <c r="H39" i="35"/>
  <c r="H52" i="35" s="1"/>
  <c r="F39" i="35"/>
  <c r="F52" i="35" s="1"/>
  <c r="E26" i="35"/>
  <c r="X25" i="35"/>
  <c r="U25" i="35"/>
  <c r="R25" i="35"/>
  <c r="H38" i="35"/>
  <c r="H51" i="35" s="1"/>
  <c r="F38" i="35"/>
  <c r="F51" i="35" s="1"/>
  <c r="E25" i="35"/>
  <c r="X24" i="35"/>
  <c r="U24" i="35"/>
  <c r="R24" i="35"/>
  <c r="H37" i="35"/>
  <c r="H50" i="35" s="1"/>
  <c r="F37" i="35"/>
  <c r="F50" i="35" s="1"/>
  <c r="E24" i="35"/>
  <c r="X23" i="35"/>
  <c r="U23" i="35"/>
  <c r="R23" i="35"/>
  <c r="H36" i="35"/>
  <c r="H49" i="35" s="1"/>
  <c r="F36" i="35"/>
  <c r="F49" i="35" s="1"/>
  <c r="E23" i="35"/>
  <c r="X22" i="35"/>
  <c r="U22" i="35"/>
  <c r="R22" i="35"/>
  <c r="H35" i="35"/>
  <c r="H48" i="35" s="1"/>
  <c r="F35" i="35"/>
  <c r="F48" i="35" s="1"/>
  <c r="E22" i="35"/>
  <c r="X21" i="35"/>
  <c r="U21" i="35"/>
  <c r="R21" i="35"/>
  <c r="H34" i="35"/>
  <c r="H47" i="35" s="1"/>
  <c r="F34" i="35"/>
  <c r="F47" i="35" s="1"/>
  <c r="E21" i="35"/>
  <c r="X20" i="35"/>
  <c r="U20" i="35"/>
  <c r="R20" i="35"/>
  <c r="H33" i="35"/>
  <c r="H46" i="35" s="1"/>
  <c r="F33" i="35"/>
  <c r="F46" i="35" s="1"/>
  <c r="E20" i="35"/>
  <c r="V15" i="35"/>
  <c r="U15" i="35"/>
  <c r="R15" i="35"/>
  <c r="E15" i="35"/>
  <c r="V14" i="35"/>
  <c r="U14" i="35"/>
  <c r="R14" i="35"/>
  <c r="E14" i="35"/>
  <c r="V13" i="35"/>
  <c r="U13" i="35"/>
  <c r="R13" i="35"/>
  <c r="E13" i="35"/>
  <c r="V12" i="35"/>
  <c r="U12" i="35"/>
  <c r="R12" i="35"/>
  <c r="E12" i="35"/>
  <c r="V11" i="35"/>
  <c r="U11" i="35"/>
  <c r="R11" i="35"/>
  <c r="E11" i="35"/>
  <c r="V10" i="35"/>
  <c r="U10" i="35"/>
  <c r="R10" i="35"/>
  <c r="E10" i="35"/>
  <c r="V9" i="35"/>
  <c r="U9" i="35"/>
  <c r="R9" i="35"/>
  <c r="E9" i="35"/>
  <c r="V8" i="35"/>
  <c r="U8" i="35"/>
  <c r="R8" i="35"/>
  <c r="E8" i="35"/>
  <c r="V7" i="35"/>
  <c r="U7" i="35"/>
  <c r="R7" i="35"/>
  <c r="E7" i="35"/>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19" i="28"/>
  <c r="F18" i="28"/>
  <c r="F17" i="28"/>
  <c r="F16" i="28"/>
  <c r="F15" i="28"/>
  <c r="F14" i="28"/>
  <c r="F13" i="28"/>
  <c r="F12" i="28"/>
  <c r="F11" i="28"/>
  <c r="F10" i="28"/>
  <c r="F9" i="28"/>
  <c r="F8" i="28"/>
  <c r="F7" i="28"/>
  <c r="F6" i="28"/>
  <c r="F5" i="28"/>
  <c r="F4" i="28"/>
  <c r="G161" i="11"/>
  <c r="F161" i="11"/>
  <c r="E161" i="11"/>
  <c r="G160" i="11"/>
  <c r="F160" i="11"/>
  <c r="E160" i="11"/>
  <c r="G159" i="11"/>
  <c r="F159" i="11"/>
  <c r="E159" i="11"/>
  <c r="G158" i="11"/>
  <c r="F158" i="11"/>
  <c r="E158" i="11"/>
  <c r="G157" i="11"/>
  <c r="F157" i="11"/>
  <c r="E157" i="11"/>
  <c r="G156" i="11"/>
  <c r="F156" i="11"/>
  <c r="E156" i="11"/>
  <c r="AA62" i="11"/>
  <c r="W62" i="11"/>
  <c r="T62" i="11"/>
  <c r="G62" i="11"/>
  <c r="F62" i="11"/>
  <c r="E62" i="11"/>
  <c r="AA61" i="11"/>
  <c r="W61" i="11"/>
  <c r="T61" i="11"/>
  <c r="G61" i="11"/>
  <c r="F61" i="11"/>
  <c r="E61" i="11"/>
  <c r="AA60" i="11"/>
  <c r="W60" i="11"/>
  <c r="T60" i="11"/>
  <c r="G60" i="11"/>
  <c r="F60" i="11"/>
  <c r="E60" i="11"/>
  <c r="AA59" i="11"/>
  <c r="W59" i="11"/>
  <c r="T59" i="11"/>
  <c r="G59" i="11"/>
  <c r="F59" i="11"/>
  <c r="E59" i="11"/>
  <c r="AA58" i="11"/>
  <c r="W58" i="11"/>
  <c r="T58" i="11"/>
  <c r="G58" i="11"/>
  <c r="F58" i="11"/>
  <c r="E58" i="11"/>
  <c r="AA57" i="11"/>
  <c r="W57" i="11"/>
  <c r="T57" i="11"/>
  <c r="G57" i="11"/>
  <c r="F57" i="11"/>
  <c r="E57" i="11"/>
  <c r="AA56" i="11"/>
  <c r="W56" i="11"/>
  <c r="T56" i="11"/>
  <c r="G56" i="11"/>
  <c r="F56" i="11"/>
  <c r="E56" i="11"/>
  <c r="AA55" i="11"/>
  <c r="W55" i="11"/>
  <c r="T55" i="11"/>
  <c r="G55" i="11"/>
  <c r="F55" i="11"/>
  <c r="E55" i="11"/>
  <c r="AA54" i="11"/>
  <c r="W54" i="11"/>
  <c r="T54" i="11"/>
  <c r="G54" i="11"/>
  <c r="F54" i="11"/>
  <c r="E54" i="11"/>
  <c r="AA53" i="11"/>
  <c r="W53" i="11"/>
  <c r="T53" i="11"/>
  <c r="G53" i="11"/>
  <c r="F53" i="11"/>
  <c r="E53" i="11"/>
  <c r="AA52" i="11"/>
  <c r="W52" i="11"/>
  <c r="T52" i="11"/>
  <c r="G52" i="11"/>
  <c r="F52" i="11"/>
  <c r="E52" i="11"/>
  <c r="AA51" i="11"/>
  <c r="W51" i="11"/>
  <c r="T51" i="11"/>
  <c r="G51" i="11"/>
  <c r="F51" i="11"/>
  <c r="E51" i="11"/>
  <c r="AA50" i="11"/>
  <c r="W50" i="11"/>
  <c r="T50" i="11"/>
  <c r="G50" i="11"/>
  <c r="F50" i="11"/>
  <c r="E50" i="11"/>
  <c r="AA49" i="11"/>
  <c r="W49" i="11"/>
  <c r="T49" i="11"/>
  <c r="G49" i="11"/>
  <c r="F49" i="11"/>
  <c r="E49" i="11"/>
  <c r="AA48" i="11"/>
  <c r="W48" i="11"/>
  <c r="T48" i="11"/>
  <c r="G48" i="11"/>
  <c r="F48" i="11"/>
  <c r="E48" i="11"/>
  <c r="AA47" i="11"/>
  <c r="W47" i="11"/>
  <c r="T47" i="11"/>
  <c r="G47" i="11"/>
  <c r="F47" i="11"/>
  <c r="E47" i="11"/>
  <c r="AA46" i="11"/>
  <c r="W46" i="11"/>
  <c r="T46" i="11"/>
  <c r="G46" i="11"/>
  <c r="F46" i="11"/>
  <c r="E46" i="11"/>
  <c r="AA45" i="11"/>
  <c r="W45" i="11"/>
  <c r="T45" i="11"/>
  <c r="G45" i="11"/>
  <c r="F45" i="11"/>
  <c r="E45" i="11"/>
  <c r="AA44" i="11"/>
  <c r="W44" i="11"/>
  <c r="T44" i="11"/>
  <c r="G44" i="11"/>
  <c r="F44" i="11"/>
  <c r="E44" i="11"/>
  <c r="AA43" i="11"/>
  <c r="W43" i="11"/>
  <c r="T43" i="11"/>
  <c r="G43" i="11"/>
  <c r="F43" i="11"/>
  <c r="E43" i="11"/>
  <c r="AA42" i="11"/>
  <c r="W42" i="11"/>
  <c r="T42" i="11"/>
  <c r="G42" i="11"/>
  <c r="F42" i="11"/>
  <c r="E42" i="11"/>
  <c r="AA41" i="11"/>
  <c r="W41" i="11"/>
  <c r="T41" i="11"/>
  <c r="G41" i="11"/>
  <c r="F41" i="11"/>
  <c r="E41" i="11"/>
  <c r="AA40" i="11"/>
  <c r="W40" i="11"/>
  <c r="T40" i="11"/>
  <c r="G40" i="11"/>
  <c r="F40" i="11"/>
  <c r="E40" i="11"/>
  <c r="AA39" i="11"/>
  <c r="W39" i="11"/>
  <c r="T39" i="11"/>
  <c r="G39" i="11"/>
  <c r="F39" i="11"/>
  <c r="E39" i="11"/>
  <c r="AA38" i="11"/>
  <c r="W38" i="11"/>
  <c r="T38" i="11"/>
  <c r="G38" i="11"/>
  <c r="F38" i="11"/>
  <c r="E38" i="11"/>
  <c r="AA37" i="11"/>
  <c r="W37" i="11"/>
  <c r="T37" i="11"/>
  <c r="G37" i="11"/>
  <c r="F37" i="11"/>
  <c r="E37" i="11"/>
  <c r="AA36" i="11"/>
  <c r="W36" i="11"/>
  <c r="T36" i="11"/>
  <c r="G36" i="11"/>
  <c r="F36" i="11"/>
  <c r="E36" i="11"/>
  <c r="AA35" i="11"/>
  <c r="W35" i="11"/>
  <c r="T35" i="11"/>
  <c r="G35" i="11"/>
  <c r="F35" i="11"/>
  <c r="E35" i="11"/>
  <c r="AA34" i="11"/>
  <c r="W34" i="11"/>
  <c r="T34" i="11"/>
  <c r="G34" i="11"/>
  <c r="F34" i="11"/>
  <c r="E34" i="11"/>
  <c r="AA33" i="11"/>
  <c r="W33" i="11"/>
  <c r="T33" i="11"/>
  <c r="G33" i="11"/>
  <c r="F33" i="11"/>
  <c r="E33" i="11"/>
  <c r="AA32" i="11"/>
  <c r="W32" i="11"/>
  <c r="T32" i="11"/>
  <c r="G32" i="11"/>
  <c r="F32" i="11"/>
  <c r="E32" i="11"/>
  <c r="AA31" i="11"/>
  <c r="W31" i="11"/>
  <c r="T31" i="11"/>
  <c r="G31" i="11"/>
  <c r="F31" i="11"/>
  <c r="E31" i="11"/>
  <c r="AA30" i="11"/>
  <c r="W30" i="11"/>
  <c r="T30" i="11"/>
  <c r="G30" i="11"/>
  <c r="F30" i="11"/>
  <c r="E30" i="11"/>
  <c r="AA29" i="11"/>
  <c r="W29" i="11"/>
  <c r="T29" i="11"/>
  <c r="G29" i="11"/>
  <c r="F29" i="11"/>
  <c r="E29" i="11"/>
  <c r="AA28" i="11"/>
  <c r="W28" i="11"/>
  <c r="T28" i="11"/>
  <c r="G28" i="11"/>
  <c r="F28" i="11"/>
  <c r="E28" i="11"/>
  <c r="AA27" i="11"/>
  <c r="W27" i="11"/>
  <c r="T27" i="11"/>
  <c r="G27" i="11"/>
  <c r="F27" i="11"/>
  <c r="E27" i="11"/>
  <c r="AA26" i="11"/>
  <c r="W26" i="11"/>
  <c r="T26" i="11"/>
  <c r="G26" i="11"/>
  <c r="F26" i="11"/>
  <c r="E26" i="11"/>
  <c r="AA25" i="11"/>
  <c r="W25" i="11"/>
  <c r="T25" i="11"/>
  <c r="G25" i="11"/>
  <c r="F25" i="11"/>
  <c r="E25" i="11"/>
  <c r="AA24" i="11"/>
  <c r="W24" i="11"/>
  <c r="T24" i="11"/>
  <c r="G24" i="11"/>
  <c r="F24" i="11"/>
  <c r="E24" i="11"/>
  <c r="AA23" i="11"/>
  <c r="W23" i="11"/>
  <c r="T23" i="11"/>
  <c r="S23" i="11"/>
  <c r="G23" i="11"/>
  <c r="E23" i="11"/>
  <c r="AA22" i="11"/>
  <c r="W22" i="11"/>
  <c r="T22" i="11"/>
  <c r="S22" i="11"/>
  <c r="G22" i="11"/>
  <c r="E22" i="11"/>
  <c r="AA21" i="11"/>
  <c r="W21" i="11"/>
  <c r="T21" i="11"/>
  <c r="G21" i="11"/>
  <c r="E21" i="11"/>
  <c r="AA20" i="11"/>
  <c r="W20" i="11"/>
  <c r="T20" i="11"/>
  <c r="G20" i="11"/>
  <c r="E20" i="11"/>
  <c r="AA19" i="11"/>
  <c r="W19" i="11"/>
  <c r="T19" i="11"/>
  <c r="G19" i="11"/>
  <c r="E19" i="11"/>
  <c r="AA18" i="11"/>
  <c r="W18" i="11"/>
  <c r="T18" i="11"/>
  <c r="G18" i="11"/>
  <c r="E18" i="11"/>
  <c r="AA17" i="11"/>
  <c r="W17" i="11"/>
  <c r="T17" i="11"/>
  <c r="G17" i="11"/>
  <c r="E17" i="11"/>
  <c r="AA16" i="11"/>
  <c r="W16" i="11"/>
  <c r="T16" i="11"/>
  <c r="G16" i="11"/>
  <c r="E16" i="11"/>
  <c r="AA15" i="11"/>
  <c r="W15" i="11"/>
  <c r="T15" i="11"/>
  <c r="G15" i="11"/>
  <c r="E15" i="11"/>
  <c r="AA14" i="11"/>
  <c r="W14" i="11"/>
  <c r="T14" i="11"/>
  <c r="G14" i="11"/>
  <c r="E14" i="11"/>
  <c r="AA13" i="11"/>
  <c r="W13" i="11"/>
  <c r="T13" i="11"/>
  <c r="G13" i="11"/>
  <c r="E13" i="11"/>
  <c r="AA12" i="11"/>
  <c r="W12" i="11"/>
  <c r="T12" i="11"/>
  <c r="G12" i="11"/>
  <c r="E12" i="11"/>
  <c r="AA11" i="11"/>
  <c r="W11" i="11"/>
  <c r="T11" i="11"/>
  <c r="G11" i="11"/>
  <c r="E11" i="11"/>
  <c r="AA10" i="11"/>
  <c r="W10" i="11"/>
  <c r="T10" i="11"/>
  <c r="G10" i="11"/>
  <c r="E10" i="11"/>
  <c r="AA9" i="11"/>
  <c r="W9" i="11"/>
  <c r="T9" i="11"/>
  <c r="G9" i="11"/>
  <c r="E9" i="11"/>
  <c r="I3" i="11"/>
  <c r="AG1048235" i="34"/>
  <c r="B264" i="34"/>
  <c r="B263" i="34"/>
  <c r="B262" i="34"/>
  <c r="B261" i="34"/>
  <c r="B260" i="34"/>
  <c r="B259" i="34"/>
  <c r="B258" i="34"/>
  <c r="B257" i="34"/>
  <c r="B256" i="34"/>
  <c r="B255" i="34"/>
  <c r="B254" i="34"/>
  <c r="B253" i="34"/>
  <c r="B252" i="34"/>
  <c r="B251" i="34"/>
  <c r="B250" i="34"/>
  <c r="B249" i="34"/>
  <c r="B248" i="34"/>
  <c r="B247" i="34"/>
  <c r="B246" i="34"/>
  <c r="B245" i="34"/>
  <c r="B244" i="34"/>
  <c r="B243" i="34"/>
  <c r="B242" i="34"/>
  <c r="B241" i="34"/>
  <c r="B240" i="34"/>
  <c r="B239" i="34"/>
  <c r="B238" i="34"/>
  <c r="B237" i="34"/>
  <c r="B236" i="34"/>
  <c r="B235" i="34"/>
  <c r="B234" i="34"/>
  <c r="B233" i="34"/>
  <c r="B232" i="34"/>
  <c r="B231" i="34"/>
  <c r="B230" i="34"/>
  <c r="B229" i="34"/>
  <c r="B228" i="34"/>
  <c r="B227" i="34"/>
  <c r="B226" i="34"/>
  <c r="B225" i="34"/>
  <c r="B224" i="34"/>
  <c r="B223" i="34"/>
  <c r="B222" i="34"/>
  <c r="B221" i="34"/>
  <c r="B220" i="34"/>
  <c r="B219" i="34"/>
  <c r="B218" i="34"/>
  <c r="B217" i="34"/>
  <c r="B216" i="34"/>
  <c r="B215" i="34"/>
  <c r="B214" i="34"/>
  <c r="B213" i="34"/>
  <c r="B212" i="34"/>
  <c r="B211" i="34"/>
  <c r="B210" i="34"/>
  <c r="B209" i="34"/>
  <c r="B208" i="34"/>
  <c r="B207" i="34"/>
  <c r="B206" i="34"/>
  <c r="B205" i="34"/>
  <c r="B204" i="34"/>
  <c r="B203" i="34"/>
  <c r="B202" i="34"/>
  <c r="B201" i="34"/>
  <c r="B200" i="34"/>
  <c r="B199" i="34"/>
  <c r="B198" i="34"/>
  <c r="B197" i="34"/>
  <c r="B196" i="34"/>
  <c r="B195" i="34"/>
  <c r="B194" i="34"/>
  <c r="B193" i="34"/>
  <c r="B192" i="34"/>
  <c r="B191" i="34"/>
  <c r="B190" i="34"/>
  <c r="B189" i="34"/>
  <c r="B188" i="34"/>
  <c r="B187" i="34"/>
  <c r="B186" i="34"/>
  <c r="B185" i="34"/>
  <c r="B184" i="34"/>
  <c r="B183" i="34"/>
  <c r="B182" i="34"/>
  <c r="B181" i="34"/>
  <c r="B180" i="34"/>
  <c r="B179" i="34"/>
  <c r="B178" i="34"/>
  <c r="B177" i="34"/>
  <c r="B176" i="34"/>
  <c r="B175" i="34"/>
  <c r="B174" i="34"/>
  <c r="B173" i="34"/>
  <c r="B172" i="34"/>
  <c r="B171" i="34"/>
  <c r="B170" i="34"/>
  <c r="B169" i="34"/>
  <c r="B168" i="34"/>
  <c r="B167" i="34"/>
  <c r="B166" i="34"/>
  <c r="B165" i="34"/>
  <c r="B164" i="34"/>
  <c r="B163" i="34"/>
  <c r="B162" i="34"/>
  <c r="B161" i="34"/>
  <c r="B160" i="34"/>
  <c r="B159" i="34"/>
  <c r="B158" i="34"/>
  <c r="B157" i="34"/>
  <c r="B156" i="34"/>
  <c r="B155" i="34"/>
  <c r="B154" i="34"/>
  <c r="B153" i="34"/>
  <c r="B152" i="34"/>
  <c r="B151" i="34"/>
  <c r="B150" i="34"/>
  <c r="B149" i="34"/>
  <c r="B148" i="34"/>
  <c r="B147" i="34"/>
  <c r="B146" i="34"/>
  <c r="B145" i="34"/>
  <c r="B144" i="34"/>
  <c r="B143" i="34"/>
  <c r="B142" i="34"/>
  <c r="B141" i="34"/>
  <c r="B140" i="34"/>
  <c r="B139" i="34"/>
  <c r="B138" i="34"/>
  <c r="B137" i="34"/>
  <c r="B136" i="34"/>
  <c r="B135" i="34"/>
  <c r="B134" i="34"/>
  <c r="B133" i="34"/>
  <c r="B132" i="34"/>
  <c r="B131" i="34"/>
  <c r="B130" i="34"/>
  <c r="B129" i="34"/>
  <c r="B128" i="34"/>
  <c r="B127" i="34"/>
  <c r="B126" i="34"/>
  <c r="B125" i="34"/>
  <c r="B124" i="34"/>
  <c r="B123" i="34"/>
  <c r="B122" i="34"/>
  <c r="B121" i="34"/>
  <c r="B120" i="34"/>
  <c r="B119" i="34"/>
  <c r="B118" i="34"/>
  <c r="B117" i="34"/>
  <c r="B116" i="34"/>
  <c r="B115" i="34"/>
  <c r="B114" i="34"/>
  <c r="B113" i="34"/>
  <c r="B112" i="34"/>
  <c r="B111" i="34"/>
  <c r="B110" i="34"/>
  <c r="B109" i="34"/>
  <c r="B108" i="34"/>
  <c r="B107" i="34"/>
  <c r="B106" i="34"/>
  <c r="B105" i="34"/>
  <c r="B104" i="34"/>
  <c r="B103" i="34"/>
  <c r="B102" i="34"/>
  <c r="B101" i="34"/>
  <c r="B100" i="34"/>
  <c r="B99" i="34"/>
  <c r="B98" i="34"/>
  <c r="B97" i="34"/>
  <c r="B96" i="34"/>
  <c r="B95" i="34"/>
  <c r="B94" i="34"/>
  <c r="B93" i="34"/>
  <c r="B92" i="34"/>
  <c r="B91" i="34"/>
  <c r="B90" i="34"/>
  <c r="B89" i="34"/>
  <c r="B88" i="34"/>
  <c r="B87" i="34"/>
  <c r="B86" i="34"/>
  <c r="B85" i="34"/>
  <c r="B84" i="34"/>
  <c r="B83" i="34"/>
  <c r="B82" i="34"/>
  <c r="B81" i="34"/>
  <c r="B80" i="34"/>
  <c r="B79" i="34"/>
  <c r="B78" i="34"/>
  <c r="B77" i="34"/>
  <c r="B76" i="34"/>
  <c r="B75" i="34"/>
  <c r="B74" i="34"/>
  <c r="B73" i="34"/>
  <c r="B72" i="34"/>
  <c r="B71" i="34"/>
  <c r="B70" i="34"/>
  <c r="B69" i="34"/>
  <c r="B68" i="34"/>
  <c r="B67" i="34"/>
  <c r="B66" i="34"/>
  <c r="B65" i="34"/>
  <c r="B64" i="34"/>
  <c r="B63" i="34"/>
  <c r="B62" i="34"/>
  <c r="B61" i="34"/>
  <c r="B60" i="34"/>
  <c r="B59" i="34"/>
  <c r="B58" i="34"/>
  <c r="B57" i="34"/>
  <c r="B56" i="34"/>
  <c r="B55" i="34"/>
  <c r="B54" i="34"/>
  <c r="B53" i="34"/>
  <c r="B52" i="34"/>
  <c r="B51" i="34"/>
  <c r="B50" i="34"/>
  <c r="B49" i="34"/>
  <c r="B48" i="34"/>
  <c r="B47" i="34"/>
  <c r="B46" i="34"/>
  <c r="B45" i="34"/>
  <c r="B44" i="34"/>
  <c r="B43" i="34"/>
  <c r="B42" i="34"/>
  <c r="B41" i="34"/>
  <c r="B40" i="34"/>
  <c r="B39" i="34"/>
  <c r="B38" i="34"/>
  <c r="B37" i="34"/>
  <c r="B36" i="34"/>
  <c r="B35" i="34"/>
  <c r="B34" i="34"/>
  <c r="B33" i="34"/>
  <c r="B32" i="34"/>
  <c r="B31" i="34"/>
  <c r="B30" i="34"/>
  <c r="B29" i="34"/>
  <c r="B28" i="34"/>
  <c r="B27" i="34"/>
  <c r="B26" i="34"/>
  <c r="B25" i="34"/>
  <c r="B24" i="34"/>
  <c r="B23" i="34"/>
  <c r="B22" i="34"/>
  <c r="B21" i="34"/>
  <c r="B20" i="34"/>
  <c r="B19" i="34"/>
  <c r="BS18" i="34"/>
  <c r="BQ18" i="34"/>
  <c r="AB18" i="34" s="1"/>
  <c r="BM18" i="34"/>
  <c r="BL18" i="34"/>
  <c r="BI18" i="34"/>
  <c r="T18" i="34"/>
  <c r="P18" i="34"/>
  <c r="BS17" i="34"/>
  <c r="B17" i="34" s="1"/>
  <c r="BS16" i="34"/>
  <c r="B16" i="34" s="1"/>
  <c r="BS15" i="34"/>
  <c r="AC9" i="34"/>
  <c r="B531" i="77"/>
  <c r="B525" i="77"/>
  <c r="B516" i="77"/>
  <c r="B514" i="77"/>
  <c r="X6" i="77"/>
  <c r="R6" i="77"/>
  <c r="I6" i="77"/>
  <c r="I3" i="77"/>
  <c r="AJ1" i="77"/>
  <c r="I1" i="77"/>
  <c r="AU24" i="52" l="1"/>
  <c r="AU33" i="52"/>
  <c r="AU21" i="52"/>
  <c r="AU25" i="52"/>
  <c r="AU27" i="52"/>
  <c r="AU31" i="52"/>
  <c r="AU22" i="52"/>
  <c r="AU28" i="52"/>
  <c r="AU29" i="52"/>
  <c r="AU26" i="52"/>
  <c r="AU32" i="52"/>
  <c r="AU23" i="52"/>
  <c r="AU30" i="52"/>
  <c r="AU20" i="52"/>
  <c r="B23" i="7"/>
  <c r="J62" i="11"/>
  <c r="J18" i="11"/>
  <c r="AZ28" i="29"/>
  <c r="A33" i="29"/>
  <c r="A30" i="29"/>
  <c r="A35" i="29"/>
  <c r="A32" i="29"/>
  <c r="A36" i="29"/>
  <c r="A34" i="29"/>
  <c r="A31" i="29"/>
  <c r="B33" i="50"/>
  <c r="B29" i="50"/>
  <c r="B34" i="50"/>
  <c r="B30" i="50"/>
  <c r="B35" i="50"/>
  <c r="B28" i="50"/>
  <c r="B32" i="50"/>
  <c r="B31" i="50"/>
  <c r="B21" i="7"/>
  <c r="B20" i="7"/>
  <c r="B19" i="7"/>
  <c r="B24" i="7"/>
  <c r="B26" i="7"/>
  <c r="B25" i="7"/>
  <c r="B22" i="7"/>
  <c r="A28" i="29"/>
  <c r="A29" i="29"/>
  <c r="J54" i="10"/>
  <c r="Q66" i="10"/>
  <c r="N52" i="10" s="1"/>
  <c r="Q52" i="10" s="1"/>
  <c r="P52" i="10" s="1"/>
  <c r="B11" i="10"/>
  <c r="J46" i="10"/>
  <c r="J52" i="10"/>
  <c r="R11" i="10"/>
  <c r="X18" i="10"/>
  <c r="O47" i="10"/>
  <c r="J50" i="10"/>
  <c r="J48" i="10"/>
  <c r="O50" i="10"/>
  <c r="Y18" i="10"/>
  <c r="O14" i="10"/>
  <c r="G19" i="10"/>
  <c r="E47" i="10"/>
  <c r="J49" i="10"/>
  <c r="M11" i="10"/>
  <c r="W14" i="10"/>
  <c r="J47" i="10"/>
  <c r="G60" i="10"/>
  <c r="D46" i="10" s="1"/>
  <c r="G46" i="10" s="1"/>
  <c r="U11" i="10"/>
  <c r="I14" i="10"/>
  <c r="I9" i="10"/>
  <c r="I10" i="10"/>
  <c r="O10" i="10"/>
  <c r="M12" i="10"/>
  <c r="K51" i="10"/>
  <c r="K11" i="10" s="1"/>
  <c r="Y51" i="10"/>
  <c r="Y11" i="10" s="1"/>
  <c r="AA47" i="10"/>
  <c r="U47" i="10"/>
  <c r="Z46" i="10"/>
  <c r="P46" i="10"/>
  <c r="M8" i="10"/>
  <c r="Q10" i="10"/>
  <c r="E15" i="10"/>
  <c r="U15" i="10"/>
  <c r="P8" i="10"/>
  <c r="T10" i="10"/>
  <c r="M15" i="10"/>
  <c r="S17" i="10"/>
  <c r="V19" i="10"/>
  <c r="O54" i="10"/>
  <c r="U55" i="10"/>
  <c r="U16" i="10" s="1"/>
  <c r="O15" i="10"/>
  <c r="Q14" i="10"/>
  <c r="R15" i="10"/>
  <c r="D18" i="10"/>
  <c r="J19" i="10"/>
  <c r="L69" i="10"/>
  <c r="I55" i="10" s="1"/>
  <c r="L55" i="10" s="1"/>
  <c r="E12" i="10"/>
  <c r="W15" i="10"/>
  <c r="I18" i="10"/>
  <c r="O19" i="10"/>
  <c r="E50" i="10"/>
  <c r="J11" i="10"/>
  <c r="L18" i="10"/>
  <c r="R19" i="10"/>
  <c r="J53" i="10"/>
  <c r="J15" i="10" s="1"/>
  <c r="Z19" i="10"/>
  <c r="I11" i="10"/>
  <c r="U12" i="10"/>
  <c r="B15" i="10"/>
  <c r="M16" i="10"/>
  <c r="T18" i="10"/>
  <c r="W19" i="10"/>
  <c r="R13" i="10"/>
  <c r="J13" i="10"/>
  <c r="B13" i="10"/>
  <c r="Y13" i="10"/>
  <c r="I13" i="10"/>
  <c r="V13" i="10"/>
  <c r="W13" i="10"/>
  <c r="G13" i="10"/>
  <c r="U13" i="10"/>
  <c r="M13" i="10"/>
  <c r="E13" i="10"/>
  <c r="T13" i="10"/>
  <c r="L13" i="10"/>
  <c r="D13" i="10"/>
  <c r="U48" i="10"/>
  <c r="U8" i="10" s="1"/>
  <c r="AA48" i="10"/>
  <c r="AA9" i="10" s="1"/>
  <c r="Z52" i="10"/>
  <c r="U54" i="10"/>
  <c r="AA54" i="10"/>
  <c r="Z56" i="10"/>
  <c r="Z18" i="10" s="1"/>
  <c r="Y46" i="10"/>
  <c r="K46" i="10"/>
  <c r="E48" i="10"/>
  <c r="E8" i="10" s="1"/>
  <c r="G62" i="10"/>
  <c r="D48" i="10" s="1"/>
  <c r="D8" i="10" s="1"/>
  <c r="T8" i="10"/>
  <c r="L8" i="10"/>
  <c r="Z8" i="10"/>
  <c r="R8" i="10"/>
  <c r="J8" i="10"/>
  <c r="B8" i="10"/>
  <c r="Q8" i="10"/>
  <c r="I8" i="10"/>
  <c r="W8" i="10"/>
  <c r="O8" i="10"/>
  <c r="V8" i="10"/>
  <c r="N8" i="10"/>
  <c r="S13" i="10"/>
  <c r="H49" i="10"/>
  <c r="F49" i="10"/>
  <c r="X49" i="10"/>
  <c r="Z54" i="10"/>
  <c r="G53" i="10"/>
  <c r="D14" i="10"/>
  <c r="E55" i="10"/>
  <c r="E16" i="10" s="1"/>
  <c r="G69" i="10"/>
  <c r="D55" i="10" s="1"/>
  <c r="G55" i="10" s="1"/>
  <c r="U52" i="10"/>
  <c r="AA52" i="10"/>
  <c r="Z9" i="10"/>
  <c r="R9" i="10"/>
  <c r="J9" i="10"/>
  <c r="B9" i="10"/>
  <c r="P9" i="10"/>
  <c r="V9" i="10"/>
  <c r="N9" i="10"/>
  <c r="W9" i="10"/>
  <c r="O9" i="10"/>
  <c r="M9" i="10"/>
  <c r="T9" i="10"/>
  <c r="L9" i="10"/>
  <c r="D9" i="10"/>
  <c r="AA13" i="10"/>
  <c r="U57" i="10"/>
  <c r="U19" i="10" s="1"/>
  <c r="AA57" i="10"/>
  <c r="AA19" i="10" s="1"/>
  <c r="X50" i="10"/>
  <c r="H50" i="10"/>
  <c r="O51" i="10"/>
  <c r="O11" i="10" s="1"/>
  <c r="Q65" i="10"/>
  <c r="N51" i="10" s="1"/>
  <c r="Q51" i="10" s="1"/>
  <c r="Q13" i="10" s="1"/>
  <c r="L53" i="10"/>
  <c r="L15" i="10" s="1"/>
  <c r="I15" i="10"/>
  <c r="X46" i="10"/>
  <c r="H46" i="10"/>
  <c r="H51" i="10"/>
  <c r="H13" i="10" s="1"/>
  <c r="F51" i="10"/>
  <c r="F12" i="10" s="1"/>
  <c r="X51" i="10"/>
  <c r="X11" i="10" s="1"/>
  <c r="U50" i="10"/>
  <c r="AA50" i="10"/>
  <c r="U46" i="10"/>
  <c r="AA46" i="10"/>
  <c r="P53" i="10"/>
  <c r="P15" i="10" s="1"/>
  <c r="Z53" i="10"/>
  <c r="Z15" i="10" s="1"/>
  <c r="Q15" i="10"/>
  <c r="G11" i="10"/>
  <c r="Y48" i="10"/>
  <c r="K48" i="10"/>
  <c r="K8" i="10" s="1"/>
  <c r="L10" i="10"/>
  <c r="P49" i="10"/>
  <c r="Z49" i="10"/>
  <c r="H47" i="10"/>
  <c r="F47" i="10"/>
  <c r="X47" i="10"/>
  <c r="Y50" i="10"/>
  <c r="K50" i="10"/>
  <c r="P55" i="10"/>
  <c r="P16" i="10" s="1"/>
  <c r="Z55" i="10"/>
  <c r="Q9" i="10"/>
  <c r="U56" i="10"/>
  <c r="U18" i="10" s="1"/>
  <c r="AA56" i="10"/>
  <c r="Y47" i="10"/>
  <c r="K47" i="10"/>
  <c r="Y52" i="10"/>
  <c r="K52" i="10"/>
  <c r="S9" i="10"/>
  <c r="Z17" i="10"/>
  <c r="R17" i="10"/>
  <c r="J17" i="10"/>
  <c r="B17" i="10"/>
  <c r="Q17" i="10"/>
  <c r="N17" i="10"/>
  <c r="W17" i="10"/>
  <c r="O17" i="10"/>
  <c r="V17" i="10"/>
  <c r="M17" i="10"/>
  <c r="E17" i="10"/>
  <c r="T17" i="10"/>
  <c r="Q18" i="10"/>
  <c r="F46" i="10"/>
  <c r="P47" i="10"/>
  <c r="Z47" i="10"/>
  <c r="Y49" i="10"/>
  <c r="K49" i="10"/>
  <c r="Y54" i="10"/>
  <c r="K54" i="10"/>
  <c r="B10" i="10"/>
  <c r="J10" i="10"/>
  <c r="R10" i="10"/>
  <c r="Z10" i="10"/>
  <c r="N12" i="10"/>
  <c r="V12" i="10"/>
  <c r="B14" i="10"/>
  <c r="J14" i="10"/>
  <c r="R14" i="10"/>
  <c r="N16" i="10"/>
  <c r="V16" i="10"/>
  <c r="B18" i="10"/>
  <c r="J18" i="10"/>
  <c r="R18" i="10"/>
  <c r="H19" i="10"/>
  <c r="P19" i="10"/>
  <c r="X19" i="10"/>
  <c r="K10" i="10"/>
  <c r="S10" i="10"/>
  <c r="G12" i="10"/>
  <c r="W12" i="10"/>
  <c r="S14" i="10"/>
  <c r="AA14" i="10"/>
  <c r="O16" i="10"/>
  <c r="W16" i="10"/>
  <c r="K18" i="10"/>
  <c r="S18" i="10"/>
  <c r="AA18" i="10"/>
  <c r="I19" i="10"/>
  <c r="Q19" i="10"/>
  <c r="Y19" i="10"/>
  <c r="G68" i="10"/>
  <c r="D54" i="10" s="1"/>
  <c r="G54" i="10" s="1"/>
  <c r="H12" i="10"/>
  <c r="M10" i="10"/>
  <c r="S11" i="10"/>
  <c r="AA11" i="10"/>
  <c r="I12" i="10"/>
  <c r="Q12" i="10"/>
  <c r="Y12" i="10"/>
  <c r="E14" i="10"/>
  <c r="M14" i="10"/>
  <c r="U14" i="10"/>
  <c r="S15" i="10"/>
  <c r="AA15" i="10"/>
  <c r="Q16" i="10"/>
  <c r="E18" i="10"/>
  <c r="M18" i="10"/>
  <c r="K19" i="10"/>
  <c r="S19" i="10"/>
  <c r="G66" i="10"/>
  <c r="D52" i="10" s="1"/>
  <c r="G52" i="10" s="1"/>
  <c r="N10" i="10"/>
  <c r="V10" i="10"/>
  <c r="D11" i="10"/>
  <c r="L11" i="10"/>
  <c r="T11" i="10"/>
  <c r="B12" i="10"/>
  <c r="J12" i="10"/>
  <c r="R12" i="10"/>
  <c r="N14" i="10"/>
  <c r="V14" i="10"/>
  <c r="D15" i="10"/>
  <c r="T15" i="10"/>
  <c r="B16" i="10"/>
  <c r="J16" i="10"/>
  <c r="R16" i="10"/>
  <c r="Z16" i="10"/>
  <c r="F18" i="10"/>
  <c r="N18" i="10"/>
  <c r="V18" i="10"/>
  <c r="D19" i="10"/>
  <c r="L19" i="10"/>
  <c r="T19" i="10"/>
  <c r="G18" i="10"/>
  <c r="O18" i="10"/>
  <c r="W18" i="10"/>
  <c r="E19" i="10"/>
  <c r="M19" i="10"/>
  <c r="K12" i="10"/>
  <c r="S12" i="10"/>
  <c r="AA12" i="10"/>
  <c r="S16" i="10"/>
  <c r="AA16" i="10"/>
  <c r="P10" i="10"/>
  <c r="N11" i="10"/>
  <c r="D12" i="10"/>
  <c r="L12" i="10"/>
  <c r="N15" i="10"/>
  <c r="H18" i="10"/>
  <c r="P18" i="10"/>
  <c r="F19" i="10"/>
  <c r="N19" i="10"/>
  <c r="W18" i="34"/>
  <c r="BE18" i="34" s="1"/>
  <c r="A28" i="51"/>
  <c r="E11" i="46"/>
  <c r="I21" i="55"/>
  <c r="H21" i="55"/>
  <c r="S14" i="55"/>
  <c r="S11" i="55"/>
  <c r="S18" i="55"/>
  <c r="S16" i="55"/>
  <c r="R10" i="55"/>
  <c r="R19" i="55"/>
  <c r="S20" i="55"/>
  <c r="S21" i="55"/>
  <c r="S61" i="55" s="1"/>
  <c r="R12" i="55"/>
  <c r="R14" i="55"/>
  <c r="R13" i="55"/>
  <c r="H20" i="55"/>
  <c r="I20" i="55"/>
  <c r="I11" i="55"/>
  <c r="I61" i="55" s="1"/>
  <c r="I19" i="55"/>
  <c r="H10" i="55"/>
  <c r="H14" i="55"/>
  <c r="H18" i="55"/>
  <c r="H9" i="55"/>
  <c r="H13" i="55"/>
  <c r="H17" i="55"/>
  <c r="H16" i="55"/>
  <c r="B15" i="7"/>
  <c r="AT3" i="51"/>
  <c r="A29" i="51"/>
  <c r="B15" i="34"/>
  <c r="A18" i="51"/>
  <c r="A19" i="51"/>
  <c r="C19" i="51" s="1"/>
  <c r="AO19" i="51" s="1"/>
  <c r="A20" i="51"/>
  <c r="C17" i="51"/>
  <c r="G17" i="51" s="1"/>
  <c r="AS3" i="51"/>
  <c r="AU4" i="51" s="1"/>
  <c r="F11" i="46"/>
  <c r="B14" i="34"/>
  <c r="C11" i="46"/>
  <c r="BA18" i="34"/>
  <c r="D11" i="46"/>
  <c r="O52" i="11"/>
  <c r="H14" i="11"/>
  <c r="AL88" i="11" s="1"/>
  <c r="H56" i="11"/>
  <c r="P55" i="11"/>
  <c r="P61" i="11"/>
  <c r="O7" i="11"/>
  <c r="M16" i="11"/>
  <c r="L60" i="11"/>
  <c r="J54" i="11"/>
  <c r="O15" i="11"/>
  <c r="B16" i="7"/>
  <c r="B18" i="7"/>
  <c r="J53" i="11"/>
  <c r="N62" i="11"/>
  <c r="O13" i="11"/>
  <c r="J14" i="11"/>
  <c r="P15" i="11"/>
  <c r="H22" i="11"/>
  <c r="N96" i="11" s="1"/>
  <c r="M23" i="11"/>
  <c r="M31" i="11"/>
  <c r="H32" i="11"/>
  <c r="N33" i="11"/>
  <c r="J34" i="11"/>
  <c r="P37" i="11"/>
  <c r="H38" i="11"/>
  <c r="L39" i="11"/>
  <c r="H40" i="11"/>
  <c r="M41" i="11"/>
  <c r="J42" i="11"/>
  <c r="P43" i="11"/>
  <c r="H44" i="11"/>
  <c r="O45" i="11"/>
  <c r="J46" i="11"/>
  <c r="H47" i="11"/>
  <c r="N48" i="11"/>
  <c r="H49" i="11"/>
  <c r="M50" i="11"/>
  <c r="J51" i="11"/>
  <c r="Q52" i="11"/>
  <c r="L53" i="11"/>
  <c r="P54" i="11"/>
  <c r="Q55" i="11"/>
  <c r="J56" i="11"/>
  <c r="M57" i="11"/>
  <c r="H58" i="11"/>
  <c r="P59" i="11"/>
  <c r="M60" i="11"/>
  <c r="H10" i="11"/>
  <c r="M11" i="11"/>
  <c r="L12" i="11"/>
  <c r="P13" i="11"/>
  <c r="Q14" i="11"/>
  <c r="M21" i="11"/>
  <c r="Q22" i="11"/>
  <c r="N23" i="11"/>
  <c r="N24" i="11"/>
  <c r="L25" i="11"/>
  <c r="J26" i="11"/>
  <c r="N27" i="11"/>
  <c r="H28" i="11"/>
  <c r="N29" i="11"/>
  <c r="J30" i="11"/>
  <c r="N31" i="11"/>
  <c r="N32" i="11"/>
  <c r="Q33" i="11"/>
  <c r="L34" i="11"/>
  <c r="J35" i="11"/>
  <c r="J36" i="11"/>
  <c r="Q37" i="11"/>
  <c r="J38" i="11"/>
  <c r="N39" i="11"/>
  <c r="P40" i="11"/>
  <c r="N41" i="11"/>
  <c r="N42" i="11"/>
  <c r="Q43" i="11"/>
  <c r="J44" i="11"/>
  <c r="Q45" i="11"/>
  <c r="L46" i="11"/>
  <c r="N47" i="11"/>
  <c r="O48" i="11"/>
  <c r="Q49" i="11"/>
  <c r="O50" i="11"/>
  <c r="Q56" i="11"/>
  <c r="P57" i="11"/>
  <c r="M58" i="11"/>
  <c r="N11" i="11"/>
  <c r="J20" i="11"/>
  <c r="M25" i="11"/>
  <c r="P26" i="11"/>
  <c r="P27" i="11"/>
  <c r="O29" i="11"/>
  <c r="N35" i="11"/>
  <c r="J9" i="11"/>
  <c r="AW83" i="11" s="1"/>
  <c r="Q12" i="11"/>
  <c r="P24" i="11"/>
  <c r="Q11" i="11"/>
  <c r="Q34" i="11"/>
  <c r="Q19" i="11"/>
  <c r="N10" i="11"/>
  <c r="O21" i="11"/>
  <c r="N28" i="11"/>
  <c r="L9" i="11"/>
  <c r="O10" i="11"/>
  <c r="P19" i="11"/>
  <c r="L20" i="11"/>
  <c r="L17" i="11"/>
  <c r="Q18" i="11"/>
  <c r="J16" i="11"/>
  <c r="AQ90" i="11" s="1"/>
  <c r="N17" i="11"/>
  <c r="M62" i="11"/>
  <c r="O11" i="11"/>
  <c r="H12" i="11"/>
  <c r="AX86" i="11" s="1"/>
  <c r="Q16" i="11"/>
  <c r="P17" i="11"/>
  <c r="L18" i="11"/>
  <c r="L19" i="11"/>
  <c r="Q23" i="11"/>
  <c r="H24" i="11"/>
  <c r="Q27" i="11"/>
  <c r="J28" i="11"/>
  <c r="O32" i="11"/>
  <c r="H33" i="11"/>
  <c r="Q35" i="11"/>
  <c r="L36" i="11"/>
  <c r="M37" i="11"/>
  <c r="P39" i="11"/>
  <c r="M40" i="11"/>
  <c r="M44" i="11"/>
  <c r="M45" i="11"/>
  <c r="P48" i="11"/>
  <c r="L49" i="11"/>
  <c r="M53" i="11"/>
  <c r="N54" i="11"/>
  <c r="O58" i="11"/>
  <c r="H59" i="11"/>
  <c r="O62" i="11"/>
  <c r="H9" i="11"/>
  <c r="AR83" i="11" s="1"/>
  <c r="P11" i="11"/>
  <c r="J12" i="11"/>
  <c r="AW86" i="11" s="1"/>
  <c r="M13" i="11"/>
  <c r="Q17" i="11"/>
  <c r="M18" i="11"/>
  <c r="O19" i="11"/>
  <c r="H20" i="11"/>
  <c r="AX94" i="11" s="1"/>
  <c r="M24" i="11"/>
  <c r="M28" i="11"/>
  <c r="M29" i="11"/>
  <c r="P32" i="11"/>
  <c r="L33" i="11"/>
  <c r="M36" i="11"/>
  <c r="O37" i="11"/>
  <c r="N40" i="11"/>
  <c r="L41" i="11"/>
  <c r="N44" i="11"/>
  <c r="N45" i="11"/>
  <c r="N49" i="11"/>
  <c r="J50" i="11"/>
  <c r="O54" i="11"/>
  <c r="H55" i="11"/>
  <c r="P58" i="11"/>
  <c r="O59" i="11"/>
  <c r="H60" i="11"/>
  <c r="O9" i="11"/>
  <c r="L10" i="11"/>
  <c r="Q13" i="11"/>
  <c r="L14" i="11"/>
  <c r="L15" i="11"/>
  <c r="Q20" i="11"/>
  <c r="P21" i="11"/>
  <c r="J22" i="11"/>
  <c r="N25" i="11"/>
  <c r="N26" i="11"/>
  <c r="Q29" i="11"/>
  <c r="L30" i="11"/>
  <c r="H31" i="11"/>
  <c r="N34" i="11"/>
  <c r="P38" i="11"/>
  <c r="H39" i="11"/>
  <c r="O42" i="11"/>
  <c r="H43" i="11"/>
  <c r="P46" i="11"/>
  <c r="L47" i="11"/>
  <c r="Q50" i="11"/>
  <c r="L51" i="11"/>
  <c r="L52" i="11"/>
  <c r="L56" i="11"/>
  <c r="O60" i="11"/>
  <c r="J61" i="11"/>
  <c r="Q9" i="11"/>
  <c r="M10" i="11"/>
  <c r="H11" i="11"/>
  <c r="M14" i="11"/>
  <c r="N15" i="11"/>
  <c r="H16" i="11"/>
  <c r="AR90" i="11" s="1"/>
  <c r="Q21" i="11"/>
  <c r="L22" i="11"/>
  <c r="L23" i="11"/>
  <c r="O26" i="11"/>
  <c r="H27" i="11"/>
  <c r="P30" i="11"/>
  <c r="L31" i="11"/>
  <c r="P34" i="11"/>
  <c r="H35" i="11"/>
  <c r="Q38" i="11"/>
  <c r="J39" i="11"/>
  <c r="P42" i="11"/>
  <c r="N43" i="11"/>
  <c r="M47" i="11"/>
  <c r="H48" i="11"/>
  <c r="P51" i="11"/>
  <c r="M52" i="11"/>
  <c r="N56" i="11"/>
  <c r="L57" i="11"/>
  <c r="Q60" i="11"/>
  <c r="L61" i="11"/>
  <c r="H62" i="11"/>
  <c r="M15" i="11"/>
  <c r="N18" i="11"/>
  <c r="N19" i="11"/>
  <c r="M22" i="11"/>
  <c r="J23" i="11"/>
  <c r="O24" i="11"/>
  <c r="H25" i="11"/>
  <c r="Q26" i="11"/>
  <c r="J27" i="11"/>
  <c r="P29" i="11"/>
  <c r="H30" i="11"/>
  <c r="P31" i="11"/>
  <c r="M32" i="11"/>
  <c r="O34" i="11"/>
  <c r="N36" i="11"/>
  <c r="N37" i="11"/>
  <c r="M39" i="11"/>
  <c r="Q41" i="11"/>
  <c r="L42" i="11"/>
  <c r="L44" i="11"/>
  <c r="Q46" i="11"/>
  <c r="J47" i="11"/>
  <c r="M49" i="11"/>
  <c r="N52" i="11"/>
  <c r="Q54" i="11"/>
  <c r="J55" i="11"/>
  <c r="Q57" i="11"/>
  <c r="J58" i="11"/>
  <c r="N60" i="11"/>
  <c r="P62" i="11"/>
  <c r="P9" i="11"/>
  <c r="J10" i="11"/>
  <c r="M12" i="11"/>
  <c r="N13" i="11"/>
  <c r="N16" i="11"/>
  <c r="M17" i="11"/>
  <c r="M20" i="11"/>
  <c r="N21" i="11"/>
  <c r="O23" i="11"/>
  <c r="Q25" i="11"/>
  <c r="L26" i="11"/>
  <c r="L28" i="11"/>
  <c r="Q30" i="11"/>
  <c r="J31" i="11"/>
  <c r="M33" i="11"/>
  <c r="P35" i="11"/>
  <c r="H36" i="11"/>
  <c r="L38" i="11"/>
  <c r="O40" i="11"/>
  <c r="H41" i="11"/>
  <c r="Q42" i="11"/>
  <c r="J43" i="11"/>
  <c r="P45" i="11"/>
  <c r="H46" i="11"/>
  <c r="P47" i="11"/>
  <c r="M48" i="11"/>
  <c r="P50" i="11"/>
  <c r="H51" i="11"/>
  <c r="Q53" i="11"/>
  <c r="M54" i="11"/>
  <c r="M56" i="11"/>
  <c r="Q58" i="11"/>
  <c r="J59" i="11"/>
  <c r="Q61" i="11"/>
  <c r="B27" i="50"/>
  <c r="BP18" i="34"/>
  <c r="BO18" i="34" s="1"/>
  <c r="BN18" i="34" s="1"/>
  <c r="BK18" i="34" s="1"/>
  <c r="Z18" i="34" s="1"/>
  <c r="BM18" i="7"/>
  <c r="BK18" i="7"/>
  <c r="BJ18" i="7"/>
  <c r="CB18" i="7"/>
  <c r="BO18" i="7" s="1"/>
  <c r="AK18" i="7"/>
  <c r="AJ18" i="7" s="1"/>
  <c r="L62" i="11"/>
  <c r="H61" i="11"/>
  <c r="P60" i="11"/>
  <c r="N59" i="11"/>
  <c r="L58" i="11"/>
  <c r="H57" i="11"/>
  <c r="P56" i="11"/>
  <c r="N55" i="11"/>
  <c r="L54" i="11"/>
  <c r="H53" i="11"/>
  <c r="P52" i="11"/>
  <c r="N51" i="11"/>
  <c r="L50" i="11"/>
  <c r="O61" i="11"/>
  <c r="J60" i="11"/>
  <c r="Q59" i="11"/>
  <c r="N58" i="11"/>
  <c r="J57" i="11"/>
  <c r="O56" i="11"/>
  <c r="L55" i="11"/>
  <c r="O53" i="11"/>
  <c r="J52" i="11"/>
  <c r="Q51" i="11"/>
  <c r="N50" i="11"/>
  <c r="J49" i="11"/>
  <c r="Q48" i="11"/>
  <c r="O47" i="11"/>
  <c r="M46" i="11"/>
  <c r="J45" i="11"/>
  <c r="Q44" i="11"/>
  <c r="O43" i="11"/>
  <c r="M42" i="11"/>
  <c r="J41" i="11"/>
  <c r="Q40" i="11"/>
  <c r="O39" i="11"/>
  <c r="M38" i="11"/>
  <c r="J37" i="11"/>
  <c r="Q36" i="11"/>
  <c r="O35" i="11"/>
  <c r="M34" i="11"/>
  <c r="J33" i="11"/>
  <c r="Q32" i="11"/>
  <c r="O31" i="11"/>
  <c r="M30" i="11"/>
  <c r="J29" i="11"/>
  <c r="Q28" i="11"/>
  <c r="O27" i="11"/>
  <c r="M26" i="11"/>
  <c r="J25" i="11"/>
  <c r="Q24" i="11"/>
  <c r="P23" i="11"/>
  <c r="N22" i="11"/>
  <c r="J21" i="11"/>
  <c r="P20" i="11"/>
  <c r="M19" i="11"/>
  <c r="H18" i="11"/>
  <c r="O17" i="11"/>
  <c r="L16" i="11"/>
  <c r="Q15" i="11"/>
  <c r="N14" i="11"/>
  <c r="J13" i="11"/>
  <c r="P12" i="11"/>
  <c r="M9" i="11"/>
  <c r="P10" i="11"/>
  <c r="J11" i="11"/>
  <c r="N12" i="11"/>
  <c r="H13" i="11"/>
  <c r="O14" i="11"/>
  <c r="H15" i="11"/>
  <c r="O16" i="11"/>
  <c r="H17" i="11"/>
  <c r="O18" i="11"/>
  <c r="H19" i="11"/>
  <c r="N20" i="11"/>
  <c r="H21" i="11"/>
  <c r="O22" i="11"/>
  <c r="J24" i="11"/>
  <c r="O25" i="11"/>
  <c r="L27" i="11"/>
  <c r="O28" i="11"/>
  <c r="H29" i="11"/>
  <c r="N30" i="11"/>
  <c r="Q31" i="11"/>
  <c r="J32" i="11"/>
  <c r="O33" i="11"/>
  <c r="L35" i="11"/>
  <c r="O36" i="11"/>
  <c r="H37" i="11"/>
  <c r="N38" i="11"/>
  <c r="Q39" i="11"/>
  <c r="J40" i="11"/>
  <c r="O41" i="11"/>
  <c r="L43" i="11"/>
  <c r="O44" i="11"/>
  <c r="H45" i="11"/>
  <c r="N46" i="11"/>
  <c r="Q47" i="11"/>
  <c r="J48" i="11"/>
  <c r="O49" i="11"/>
  <c r="M51" i="11"/>
  <c r="N53" i="11"/>
  <c r="M55" i="11"/>
  <c r="N57" i="11"/>
  <c r="L59" i="11"/>
  <c r="M61" i="11"/>
  <c r="Q62" i="11"/>
  <c r="L7" i="11"/>
  <c r="N9" i="11"/>
  <c r="Q10" i="11"/>
  <c r="L11" i="11"/>
  <c r="O12" i="11"/>
  <c r="L13" i="11"/>
  <c r="P14" i="11"/>
  <c r="J15" i="11"/>
  <c r="P16" i="11"/>
  <c r="J17" i="11"/>
  <c r="P18" i="11"/>
  <c r="J19" i="11"/>
  <c r="O20" i="11"/>
  <c r="L21" i="11"/>
  <c r="P22" i="11"/>
  <c r="H23" i="11"/>
  <c r="L24" i="11"/>
  <c r="P25" i="11"/>
  <c r="H26" i="11"/>
  <c r="M27" i="11"/>
  <c r="P28" i="11"/>
  <c r="L29" i="11"/>
  <c r="Y23" i="7" s="1"/>
  <c r="O30" i="11"/>
  <c r="L32" i="11"/>
  <c r="P33" i="11"/>
  <c r="H34" i="11"/>
  <c r="M35" i="11"/>
  <c r="P36" i="11"/>
  <c r="L37" i="11"/>
  <c r="O38" i="11"/>
  <c r="L40" i="11"/>
  <c r="P41" i="11"/>
  <c r="H42" i="11"/>
  <c r="M43" i="11"/>
  <c r="P44" i="11"/>
  <c r="L45" i="11"/>
  <c r="O46" i="11"/>
  <c r="L48" i="11"/>
  <c r="P49" i="11"/>
  <c r="H50" i="11"/>
  <c r="O51" i="11"/>
  <c r="H52" i="11"/>
  <c r="P53" i="11"/>
  <c r="H54" i="11"/>
  <c r="O55" i="11"/>
  <c r="O57" i="11"/>
  <c r="M59" i="11"/>
  <c r="N61" i="11"/>
  <c r="BB18" i="34"/>
  <c r="BD18" i="34"/>
  <c r="BC18" i="34"/>
  <c r="AG18" i="34"/>
  <c r="BF4" i="52"/>
  <c r="AI4" i="52" s="1"/>
  <c r="AT31" i="52" s="1"/>
  <c r="BB4" i="52"/>
  <c r="AL3" i="52"/>
  <c r="AU19" i="52"/>
  <c r="B14" i="7"/>
  <c r="BG6" i="29"/>
  <c r="AE6" i="50"/>
  <c r="AT32" i="52" l="1"/>
  <c r="AT27" i="52"/>
  <c r="AT28" i="52"/>
  <c r="AT33" i="52"/>
  <c r="AT29" i="52"/>
  <c r="AT26" i="52"/>
  <c r="AT30" i="52"/>
  <c r="BL23" i="7"/>
  <c r="AF23" i="7" s="1"/>
  <c r="BQ23" i="7" s="1"/>
  <c r="BN23" i="7"/>
  <c r="AI23" i="7"/>
  <c r="BD33" i="52"/>
  <c r="BE33" i="52" s="1"/>
  <c r="BC32" i="52"/>
  <c r="BF32" i="52" s="1"/>
  <c r="BC33" i="52"/>
  <c r="BF33" i="52" s="1"/>
  <c r="BD32" i="52"/>
  <c r="BE32" i="52" s="1"/>
  <c r="BD31" i="52"/>
  <c r="BE31" i="52" s="1"/>
  <c r="BC30" i="52"/>
  <c r="BF30" i="52" s="1"/>
  <c r="BC29" i="52"/>
  <c r="BF29" i="52" s="1"/>
  <c r="BC31" i="52"/>
  <c r="BF31" i="52" s="1"/>
  <c r="BC26" i="52"/>
  <c r="BF26" i="52" s="1"/>
  <c r="BD29" i="52"/>
  <c r="BE29" i="52" s="1"/>
  <c r="BD30" i="52"/>
  <c r="BE30" i="52" s="1"/>
  <c r="BC28" i="52"/>
  <c r="BF28" i="52" s="1"/>
  <c r="BC27" i="52"/>
  <c r="BF27" i="52" s="1"/>
  <c r="BD28" i="52"/>
  <c r="BE28" i="52" s="1"/>
  <c r="BD26" i="52"/>
  <c r="BE26" i="52" s="1"/>
  <c r="BD27" i="52"/>
  <c r="BE27" i="52" s="1"/>
  <c r="C18" i="51"/>
  <c r="L18" i="51" s="1"/>
  <c r="AW92" i="11"/>
  <c r="W34" i="50"/>
  <c r="W35" i="50"/>
  <c r="D10" i="124" s="1"/>
  <c r="W31" i="50"/>
  <c r="W32" i="50"/>
  <c r="W33" i="50"/>
  <c r="D8" i="124" s="1"/>
  <c r="BL19" i="7"/>
  <c r="BL21" i="7"/>
  <c r="BL24" i="7"/>
  <c r="AF24" i="7" s="1"/>
  <c r="BL25" i="7"/>
  <c r="AF25" i="7" s="1"/>
  <c r="BL22" i="7"/>
  <c r="AF22" i="7" s="1"/>
  <c r="BL26" i="7"/>
  <c r="AF26" i="7" s="1"/>
  <c r="Y19" i="7"/>
  <c r="Y20" i="7"/>
  <c r="Y21" i="7"/>
  <c r="Y26" i="7"/>
  <c r="Y24" i="7"/>
  <c r="Y25" i="7"/>
  <c r="Y22" i="7"/>
  <c r="Y18" i="7"/>
  <c r="AK88" i="11"/>
  <c r="AQ97" i="11"/>
  <c r="E10" i="10"/>
  <c r="P14" i="10"/>
  <c r="Z14" i="10"/>
  <c r="K13" i="10"/>
  <c r="K9" i="10"/>
  <c r="H11" i="10"/>
  <c r="U17" i="10"/>
  <c r="K55" i="10"/>
  <c r="Y55" i="10"/>
  <c r="I16" i="10"/>
  <c r="F13" i="10"/>
  <c r="U9" i="10"/>
  <c r="F11" i="10"/>
  <c r="U10" i="10"/>
  <c r="L17" i="10"/>
  <c r="I17" i="10"/>
  <c r="L16" i="10"/>
  <c r="D16" i="10"/>
  <c r="P17" i="10"/>
  <c r="E9" i="10"/>
  <c r="O13" i="10"/>
  <c r="X13" i="10"/>
  <c r="H55" i="10"/>
  <c r="F55" i="10"/>
  <c r="X55" i="10"/>
  <c r="X12" i="10"/>
  <c r="O12" i="10"/>
  <c r="D17" i="10"/>
  <c r="G17" i="10"/>
  <c r="N13" i="10"/>
  <c r="X52" i="10"/>
  <c r="H52" i="10"/>
  <c r="F52" i="10"/>
  <c r="Y10" i="10"/>
  <c r="Y9" i="10"/>
  <c r="AA8" i="10"/>
  <c r="X54" i="10"/>
  <c r="H54" i="10"/>
  <c r="F54" i="10"/>
  <c r="AA10" i="10"/>
  <c r="Y53" i="10"/>
  <c r="L14" i="10"/>
  <c r="K53" i="10"/>
  <c r="G14" i="10"/>
  <c r="H53" i="10"/>
  <c r="F53" i="10"/>
  <c r="X53" i="10"/>
  <c r="G15" i="10"/>
  <c r="Y8" i="10"/>
  <c r="G16" i="10"/>
  <c r="P51" i="10"/>
  <c r="Z51" i="10"/>
  <c r="Q11" i="10"/>
  <c r="D10" i="10"/>
  <c r="G48" i="10"/>
  <c r="C24" i="29"/>
  <c r="F24" i="29" s="1"/>
  <c r="C23" i="29"/>
  <c r="C22" i="29"/>
  <c r="C25" i="29"/>
  <c r="C21" i="29"/>
  <c r="C20" i="29"/>
  <c r="C19" i="29"/>
  <c r="AK96" i="11"/>
  <c r="AX84" i="11"/>
  <c r="N88" i="11"/>
  <c r="AR88" i="11"/>
  <c r="AX88" i="11"/>
  <c r="AE19" i="52"/>
  <c r="N84" i="11"/>
  <c r="H61" i="55"/>
  <c r="R61" i="55"/>
  <c r="AL83" i="11"/>
  <c r="M90" i="11"/>
  <c r="AX85" i="11"/>
  <c r="M96" i="11"/>
  <c r="AR86" i="11"/>
  <c r="C22" i="51"/>
  <c r="AH22" i="51" s="1"/>
  <c r="M22" i="51" s="1"/>
  <c r="AQ96" i="11"/>
  <c r="AR84" i="11"/>
  <c r="AK92" i="11"/>
  <c r="AK94" i="11"/>
  <c r="N85" i="11"/>
  <c r="BL18" i="7"/>
  <c r="M92" i="11"/>
  <c r="AC18" i="34"/>
  <c r="I19" i="51"/>
  <c r="AM19" i="51"/>
  <c r="G19" i="51"/>
  <c r="N19" i="51"/>
  <c r="CN19" i="51"/>
  <c r="H19" i="51"/>
  <c r="BB19" i="51" s="1"/>
  <c r="D19" i="51"/>
  <c r="O19" i="51"/>
  <c r="F19" i="51"/>
  <c r="CN17" i="51"/>
  <c r="E19" i="51"/>
  <c r="AI17" i="51"/>
  <c r="AI19" i="51"/>
  <c r="AH19" i="51"/>
  <c r="M19" i="51" s="1"/>
  <c r="L19" i="51"/>
  <c r="K19" i="51"/>
  <c r="J19" i="51"/>
  <c r="BA19" i="51" s="1"/>
  <c r="C20" i="51"/>
  <c r="F20" i="51" s="1"/>
  <c r="N17" i="51"/>
  <c r="F17" i="51"/>
  <c r="AH17" i="51"/>
  <c r="M17" i="51" s="1"/>
  <c r="L17" i="51"/>
  <c r="K17" i="51"/>
  <c r="O17" i="51"/>
  <c r="H17" i="51"/>
  <c r="BB17" i="51" s="1"/>
  <c r="AM17" i="51"/>
  <c r="D17" i="51"/>
  <c r="AO17" i="51"/>
  <c r="AD13" i="50"/>
  <c r="M6" i="46"/>
  <c r="B13" i="46" s="1"/>
  <c r="AS4" i="51"/>
  <c r="AK4" i="52"/>
  <c r="AM3" i="52" s="1"/>
  <c r="BF13" i="29"/>
  <c r="AK19" i="51"/>
  <c r="AK90" i="11"/>
  <c r="AW90" i="11"/>
  <c r="AL84" i="11"/>
  <c r="AK97" i="11"/>
  <c r="M88" i="11"/>
  <c r="AK86" i="11"/>
  <c r="AQ86" i="11"/>
  <c r="M97" i="11"/>
  <c r="AL85" i="11"/>
  <c r="AL86" i="11"/>
  <c r="AQ88" i="11"/>
  <c r="N86" i="11"/>
  <c r="AW88" i="11"/>
  <c r="AX83" i="11"/>
  <c r="AK83" i="11"/>
  <c r="N94" i="11"/>
  <c r="C29" i="51"/>
  <c r="F29" i="51" s="1"/>
  <c r="C23" i="51"/>
  <c r="AR94" i="11"/>
  <c r="AQ92" i="11"/>
  <c r="AW94" i="11"/>
  <c r="M94" i="11"/>
  <c r="AQ94" i="11"/>
  <c r="AR96" i="11"/>
  <c r="AX96" i="11"/>
  <c r="AL96" i="11"/>
  <c r="C26" i="51"/>
  <c r="M86" i="11"/>
  <c r="C27" i="51"/>
  <c r="AW96" i="11"/>
  <c r="C28" i="51"/>
  <c r="C25" i="51"/>
  <c r="C24" i="51"/>
  <c r="AQ83" i="11"/>
  <c r="M83" i="11"/>
  <c r="N90" i="11"/>
  <c r="AL90" i="11"/>
  <c r="AX90" i="11"/>
  <c r="AW97" i="11"/>
  <c r="AW84" i="11"/>
  <c r="AR85" i="11"/>
  <c r="AL94" i="11"/>
  <c r="AQ84" i="11"/>
  <c r="N83" i="11"/>
  <c r="AK84" i="11"/>
  <c r="M84" i="11"/>
  <c r="AX95" i="11"/>
  <c r="N95" i="11"/>
  <c r="AR95" i="11"/>
  <c r="AL95" i="11"/>
  <c r="AX87" i="11"/>
  <c r="N87" i="11"/>
  <c r="AR87" i="11"/>
  <c r="AL87" i="11"/>
  <c r="AX92" i="11"/>
  <c r="AR92" i="11"/>
  <c r="AL92" i="11"/>
  <c r="N92" i="11"/>
  <c r="CA18" i="7"/>
  <c r="BX18" i="7" s="1"/>
  <c r="AQ91" i="11"/>
  <c r="M91" i="11"/>
  <c r="AW91" i="11"/>
  <c r="AK91" i="11"/>
  <c r="AX91" i="11"/>
  <c r="AR91" i="11"/>
  <c r="N91" i="11"/>
  <c r="AL91" i="11"/>
  <c r="AW85" i="11"/>
  <c r="M85" i="11"/>
  <c r="AK85" i="11"/>
  <c r="AQ85" i="11"/>
  <c r="N97" i="11"/>
  <c r="AX97" i="11"/>
  <c r="AL97" i="11"/>
  <c r="AR97" i="11"/>
  <c r="AK89" i="11"/>
  <c r="M89" i="11"/>
  <c r="AQ89" i="11"/>
  <c r="AW89" i="11"/>
  <c r="AX89" i="11"/>
  <c r="AL89" i="11"/>
  <c r="AR89" i="11"/>
  <c r="N89" i="11"/>
  <c r="M87" i="11"/>
  <c r="AW87" i="11"/>
  <c r="AK87" i="11"/>
  <c r="AQ87" i="11"/>
  <c r="M95" i="11"/>
  <c r="AW95" i="11"/>
  <c r="AQ95" i="11"/>
  <c r="AK95" i="11"/>
  <c r="AW93" i="11"/>
  <c r="AQ93" i="11"/>
  <c r="AK93" i="11"/>
  <c r="M93" i="11"/>
  <c r="AX93" i="11"/>
  <c r="AR93" i="11"/>
  <c r="AL93" i="11"/>
  <c r="N93" i="11"/>
  <c r="O6" i="46"/>
  <c r="AL4" i="52"/>
  <c r="AT4" i="51"/>
  <c r="AU3" i="51" s="1"/>
  <c r="BG13" i="29"/>
  <c r="AE13" i="50"/>
  <c r="D6" i="124" l="1"/>
  <c r="V7" i="93"/>
  <c r="D9" i="124"/>
  <c r="V6" i="93"/>
  <c r="D7" i="124"/>
  <c r="W6" i="93"/>
  <c r="W7" i="93"/>
  <c r="AZ23" i="7"/>
  <c r="V23" i="7" s="1"/>
  <c r="AH18" i="51"/>
  <c r="M18" i="51" s="1"/>
  <c r="D18" i="51"/>
  <c r="O18" i="51"/>
  <c r="T18" i="51" s="1"/>
  <c r="AR18" i="51" s="1"/>
  <c r="AM18" i="51"/>
  <c r="BE18" i="51" s="1"/>
  <c r="CN18" i="51"/>
  <c r="J18" i="51"/>
  <c r="BA18" i="51" s="1"/>
  <c r="N18" i="51"/>
  <c r="E18" i="51"/>
  <c r="AI18" i="51"/>
  <c r="AO18" i="51"/>
  <c r="H18" i="51"/>
  <c r="BB18" i="51" s="1"/>
  <c r="I18" i="51"/>
  <c r="K18" i="51"/>
  <c r="F18" i="51"/>
  <c r="G18" i="51"/>
  <c r="CH18" i="51" s="1"/>
  <c r="AR19" i="52" a="1"/>
  <c r="AR19" i="52" s="1"/>
  <c r="AP19" i="52" a="1"/>
  <c r="AP19" i="52" s="1"/>
  <c r="BR19" i="52" s="1"/>
  <c r="BN25" i="7"/>
  <c r="AI25" i="7"/>
  <c r="BQ22" i="7"/>
  <c r="BN20" i="7"/>
  <c r="BQ25" i="7"/>
  <c r="BN24" i="7"/>
  <c r="AI24" i="7"/>
  <c r="BQ24" i="7"/>
  <c r="BN26" i="7"/>
  <c r="AI26" i="7"/>
  <c r="AZ25" i="7"/>
  <c r="AZ22" i="7"/>
  <c r="AZ26" i="7"/>
  <c r="AZ24" i="7"/>
  <c r="BN19" i="7"/>
  <c r="BN22" i="7"/>
  <c r="AI22" i="7"/>
  <c r="BN21" i="7"/>
  <c r="BQ26" i="7"/>
  <c r="AK17" i="51"/>
  <c r="O21" i="52"/>
  <c r="N21" i="52"/>
  <c r="W21" i="52" s="1"/>
  <c r="O25" i="52"/>
  <c r="N25" i="52"/>
  <c r="W25" i="52" s="1"/>
  <c r="N24" i="52"/>
  <c r="W24" i="52" s="1"/>
  <c r="O23" i="52"/>
  <c r="N23" i="52"/>
  <c r="W23" i="52" s="1"/>
  <c r="O22" i="52"/>
  <c r="N22" i="52"/>
  <c r="W22" i="52" s="1"/>
  <c r="O20" i="52"/>
  <c r="P20" i="52"/>
  <c r="L24" i="52"/>
  <c r="O24" i="52"/>
  <c r="Y16" i="10"/>
  <c r="Y17" i="10"/>
  <c r="K17" i="10"/>
  <c r="K16" i="10"/>
  <c r="Y15" i="10"/>
  <c r="Y14" i="10"/>
  <c r="F17" i="10"/>
  <c r="F16" i="10"/>
  <c r="X16" i="10"/>
  <c r="X17" i="10"/>
  <c r="X48" i="10"/>
  <c r="H48" i="10"/>
  <c r="F48" i="10"/>
  <c r="G10" i="10"/>
  <c r="G9" i="10"/>
  <c r="G8" i="10"/>
  <c r="X14" i="10"/>
  <c r="X15" i="10"/>
  <c r="H16" i="10"/>
  <c r="H17" i="10"/>
  <c r="H15" i="10"/>
  <c r="H14" i="10"/>
  <c r="F14" i="10"/>
  <c r="F15" i="10"/>
  <c r="Z11" i="10"/>
  <c r="Z13" i="10"/>
  <c r="Z12" i="10"/>
  <c r="P13" i="10"/>
  <c r="P11" i="10"/>
  <c r="P12" i="10"/>
  <c r="K15" i="10"/>
  <c r="K14" i="10"/>
  <c r="T19" i="51"/>
  <c r="AR19" i="51" s="1"/>
  <c r="BE19" i="51"/>
  <c r="T27" i="50"/>
  <c r="N27" i="50"/>
  <c r="AF19" i="52"/>
  <c r="AK19" i="52" s="1"/>
  <c r="P24" i="29"/>
  <c r="AW24" i="29"/>
  <c r="AA24" i="29" s="1"/>
  <c r="BA24" i="29"/>
  <c r="K24" i="29"/>
  <c r="V24" i="29"/>
  <c r="AX24" i="29"/>
  <c r="AY24" i="29"/>
  <c r="AZ24" i="29"/>
  <c r="F19" i="29"/>
  <c r="AX19" i="29"/>
  <c r="AZ19" i="29"/>
  <c r="AW19" i="29"/>
  <c r="K19" i="29"/>
  <c r="BA19" i="29"/>
  <c r="V19" i="29"/>
  <c r="AY19" i="29"/>
  <c r="P20" i="29"/>
  <c r="F20" i="29"/>
  <c r="AW20" i="29"/>
  <c r="AZ20" i="29"/>
  <c r="K20" i="29"/>
  <c r="AX20" i="29"/>
  <c r="AY20" i="29"/>
  <c r="BA20" i="29"/>
  <c r="V20" i="29"/>
  <c r="V21" i="29"/>
  <c r="F21" i="29"/>
  <c r="AX21" i="29"/>
  <c r="AZ21" i="29"/>
  <c r="K21" i="29"/>
  <c r="BA21" i="29"/>
  <c r="AY21" i="29"/>
  <c r="P21" i="29"/>
  <c r="AW21" i="29"/>
  <c r="K25" i="29"/>
  <c r="P25" i="29"/>
  <c r="AX25" i="29"/>
  <c r="AW25" i="29"/>
  <c r="AZ25" i="29"/>
  <c r="BA25" i="29"/>
  <c r="F25" i="29"/>
  <c r="AY25" i="29"/>
  <c r="V25" i="29"/>
  <c r="P22" i="29"/>
  <c r="AY22" i="29"/>
  <c r="AW22" i="29"/>
  <c r="V22" i="29"/>
  <c r="F22" i="29"/>
  <c r="AZ22" i="29"/>
  <c r="BA22" i="29"/>
  <c r="AX22" i="29"/>
  <c r="K22" i="29"/>
  <c r="AW23" i="29"/>
  <c r="BA23" i="29"/>
  <c r="K23" i="29"/>
  <c r="AZ23" i="29"/>
  <c r="V23" i="29"/>
  <c r="P23" i="29"/>
  <c r="AX23" i="29"/>
  <c r="F23" i="29"/>
  <c r="AY23" i="29"/>
  <c r="P19" i="52"/>
  <c r="AC19" i="52"/>
  <c r="H19" i="52"/>
  <c r="BH28" i="29"/>
  <c r="BI28" i="29" s="1"/>
  <c r="G19" i="52"/>
  <c r="Z19" i="52"/>
  <c r="N19" i="52" s="1"/>
  <c r="W19" i="52" s="1"/>
  <c r="O19" i="52"/>
  <c r="AZ19" i="52" s="1"/>
  <c r="L19" i="52"/>
  <c r="AA19" i="52"/>
  <c r="M19" i="52"/>
  <c r="E19" i="52"/>
  <c r="AG19" i="52"/>
  <c r="BY19" i="52" s="1"/>
  <c r="I19" i="52"/>
  <c r="AT19" i="52" s="1"/>
  <c r="F28" i="29"/>
  <c r="AY28" i="29"/>
  <c r="BA28" i="29" s="1"/>
  <c r="AX28" i="29"/>
  <c r="BJ28" i="29"/>
  <c r="AW28" i="29"/>
  <c r="K28" i="29"/>
  <c r="V28" i="29"/>
  <c r="AY29" i="29"/>
  <c r="BA29" i="29" s="1"/>
  <c r="J27" i="50"/>
  <c r="U27" i="50"/>
  <c r="AM22" i="51"/>
  <c r="AN22" i="51" s="1"/>
  <c r="AS22" i="51" s="1"/>
  <c r="K22" i="51"/>
  <c r="BN18" i="7"/>
  <c r="CG19" i="51"/>
  <c r="CN22" i="51"/>
  <c r="AB27" i="50"/>
  <c r="H22" i="51"/>
  <c r="BB22" i="51" s="1"/>
  <c r="L22" i="51"/>
  <c r="I27" i="50"/>
  <c r="E27" i="50"/>
  <c r="R27" i="50"/>
  <c r="H27" i="50"/>
  <c r="Y27" i="50"/>
  <c r="D22" i="51"/>
  <c r="S27" i="50"/>
  <c r="Z27" i="50"/>
  <c r="F27" i="50"/>
  <c r="G22" i="51"/>
  <c r="AO22" i="51"/>
  <c r="CG22" i="51" s="1"/>
  <c r="AI22" i="51"/>
  <c r="F22" i="51"/>
  <c r="N22" i="51"/>
  <c r="BK22" i="51" s="1"/>
  <c r="BN22" i="51" s="1"/>
  <c r="O22" i="51"/>
  <c r="V19" i="51"/>
  <c r="CH19" i="51"/>
  <c r="AK18" i="51"/>
  <c r="AJ19" i="51"/>
  <c r="BF19" i="51"/>
  <c r="BG19" i="51" s="1"/>
  <c r="E20" i="51"/>
  <c r="BH19" i="51"/>
  <c r="BL19" i="51"/>
  <c r="BM19" i="51" s="1"/>
  <c r="BK19" i="51"/>
  <c r="BN19" i="51" s="1"/>
  <c r="AN19" i="51"/>
  <c r="K20" i="51"/>
  <c r="AH20" i="51"/>
  <c r="AJ20" i="51" s="1"/>
  <c r="L20" i="51"/>
  <c r="D20" i="51"/>
  <c r="AO20" i="51"/>
  <c r="AP19" i="51"/>
  <c r="AJ17" i="51"/>
  <c r="BF17" i="51"/>
  <c r="BG17" i="51" s="1"/>
  <c r="BH17" i="51"/>
  <c r="AK20" i="51"/>
  <c r="N20" i="51"/>
  <c r="I20" i="51"/>
  <c r="AM20" i="51"/>
  <c r="O20" i="51"/>
  <c r="CN20" i="51"/>
  <c r="AI20" i="51"/>
  <c r="H20" i="51"/>
  <c r="BB20" i="51" s="1"/>
  <c r="G20" i="51"/>
  <c r="J20" i="51"/>
  <c r="BA20" i="51" s="1"/>
  <c r="BK17" i="51"/>
  <c r="BN17" i="51" s="1"/>
  <c r="BL17" i="51"/>
  <c r="BM17" i="51" s="1"/>
  <c r="CH17" i="51"/>
  <c r="BE17" i="51"/>
  <c r="AN17" i="51"/>
  <c r="T17" i="51"/>
  <c r="AR17" i="51" s="1"/>
  <c r="V17" i="51"/>
  <c r="CG17" i="51"/>
  <c r="AP17" i="51"/>
  <c r="B14" i="46"/>
  <c r="L13" i="46"/>
  <c r="AI29" i="51"/>
  <c r="O29" i="51"/>
  <c r="I20" i="52"/>
  <c r="AT20" i="52" s="1"/>
  <c r="I29" i="51"/>
  <c r="J24" i="52"/>
  <c r="M24" i="52"/>
  <c r="L29" i="51"/>
  <c r="N29" i="51"/>
  <c r="G24" i="52"/>
  <c r="E24" i="52"/>
  <c r="CN29" i="51"/>
  <c r="H24" i="52"/>
  <c r="I24" i="52"/>
  <c r="AT24" i="52" s="1"/>
  <c r="AH29" i="51"/>
  <c r="M29" i="51" s="1"/>
  <c r="M20" i="52"/>
  <c r="F24" i="52"/>
  <c r="G20" i="52"/>
  <c r="H20" i="52"/>
  <c r="J20" i="52"/>
  <c r="L20" i="52"/>
  <c r="E20" i="52"/>
  <c r="BH29" i="29"/>
  <c r="BI29" i="29" s="1"/>
  <c r="E29" i="51"/>
  <c r="D29" i="51"/>
  <c r="AO29" i="51"/>
  <c r="H29" i="51"/>
  <c r="BB29" i="51" s="1"/>
  <c r="K29" i="51"/>
  <c r="G29" i="51"/>
  <c r="AM29" i="51"/>
  <c r="BJ29" i="29"/>
  <c r="V29" i="29"/>
  <c r="AW29" i="29"/>
  <c r="L23" i="51"/>
  <c r="AI23" i="51"/>
  <c r="H23" i="51"/>
  <c r="BB23" i="51" s="1"/>
  <c r="I23" i="51"/>
  <c r="AH23" i="51"/>
  <c r="M23" i="51" s="1"/>
  <c r="O23" i="51"/>
  <c r="F23" i="51"/>
  <c r="K23" i="51"/>
  <c r="AO23" i="51"/>
  <c r="G23" i="51"/>
  <c r="CN23" i="51"/>
  <c r="AM23" i="51"/>
  <c r="N23" i="51"/>
  <c r="D23" i="51"/>
  <c r="AX29" i="29"/>
  <c r="F29" i="29"/>
  <c r="AH25" i="51"/>
  <c r="M25" i="51" s="1"/>
  <c r="H25" i="51"/>
  <c r="BB25" i="51" s="1"/>
  <c r="AM25" i="51"/>
  <c r="I25" i="51"/>
  <c r="F25" i="51"/>
  <c r="O25" i="51"/>
  <c r="G25" i="51"/>
  <c r="L25" i="51"/>
  <c r="N25" i="51"/>
  <c r="K25" i="51"/>
  <c r="CN25" i="51"/>
  <c r="AI25" i="51"/>
  <c r="D25" i="51"/>
  <c r="AO25" i="51"/>
  <c r="CN26" i="51"/>
  <c r="N26" i="51"/>
  <c r="O26" i="51"/>
  <c r="H26" i="51"/>
  <c r="BB26" i="51" s="1"/>
  <c r="I26" i="51"/>
  <c r="F26" i="51"/>
  <c r="AM26" i="51"/>
  <c r="AO26" i="51"/>
  <c r="G26" i="51"/>
  <c r="L26" i="51"/>
  <c r="K26" i="51"/>
  <c r="AH26" i="51"/>
  <c r="M26" i="51" s="1"/>
  <c r="AI26" i="51"/>
  <c r="D26" i="51"/>
  <c r="E26" i="51"/>
  <c r="M23" i="52"/>
  <c r="H23" i="52"/>
  <c r="E23" i="52"/>
  <c r="G23" i="52"/>
  <c r="J23" i="52"/>
  <c r="F23" i="52"/>
  <c r="L23" i="52"/>
  <c r="I23" i="52"/>
  <c r="AT23" i="52" s="1"/>
  <c r="L25" i="52"/>
  <c r="F25" i="52"/>
  <c r="J25" i="52"/>
  <c r="G25" i="52"/>
  <c r="I25" i="52"/>
  <c r="AT25" i="52" s="1"/>
  <c r="E25" i="52"/>
  <c r="H25" i="52"/>
  <c r="M25" i="52"/>
  <c r="E22" i="52"/>
  <c r="I22" i="52"/>
  <c r="AT22" i="52" s="1"/>
  <c r="G22" i="52"/>
  <c r="M22" i="52"/>
  <c r="J22" i="52"/>
  <c r="H22" i="52"/>
  <c r="L22" i="52"/>
  <c r="AI28" i="51"/>
  <c r="AO28" i="51"/>
  <c r="H28" i="51"/>
  <c r="BB28" i="51" s="1"/>
  <c r="AM28" i="51"/>
  <c r="AH28" i="51"/>
  <c r="M28" i="51" s="1"/>
  <c r="N28" i="51"/>
  <c r="O28" i="51"/>
  <c r="K28" i="51"/>
  <c r="I28" i="51"/>
  <c r="E28" i="51"/>
  <c r="D28" i="51"/>
  <c r="L28" i="51"/>
  <c r="CN28" i="51"/>
  <c r="G28" i="51"/>
  <c r="F28" i="51"/>
  <c r="AH27" i="51"/>
  <c r="M27" i="51" s="1"/>
  <c r="AO27" i="51"/>
  <c r="N27" i="51"/>
  <c r="E27" i="51"/>
  <c r="D27" i="51"/>
  <c r="H27" i="51"/>
  <c r="BB27" i="51" s="1"/>
  <c r="CN27" i="51"/>
  <c r="F27" i="51"/>
  <c r="AI27" i="51"/>
  <c r="O27" i="51"/>
  <c r="L27" i="51"/>
  <c r="G27" i="51"/>
  <c r="K27" i="51"/>
  <c r="I27" i="51"/>
  <c r="AM27" i="51"/>
  <c r="I21" i="52"/>
  <c r="AT21" i="52" s="1"/>
  <c r="M21" i="52"/>
  <c r="J21" i="52"/>
  <c r="H21" i="52"/>
  <c r="G21" i="52"/>
  <c r="E21" i="52"/>
  <c r="L21" i="52"/>
  <c r="N24" i="51"/>
  <c r="K24" i="51"/>
  <c r="G24" i="51"/>
  <c r="D24" i="51"/>
  <c r="AI24" i="51"/>
  <c r="H24" i="51"/>
  <c r="BB24" i="51" s="1"/>
  <c r="AH24" i="51"/>
  <c r="M24" i="51" s="1"/>
  <c r="AM24" i="51"/>
  <c r="L24" i="51"/>
  <c r="CN24" i="51"/>
  <c r="I24" i="51"/>
  <c r="F24" i="51"/>
  <c r="AO24" i="51"/>
  <c r="O24" i="51"/>
  <c r="V8" i="93" l="1"/>
  <c r="W8" i="93"/>
  <c r="Y6" i="93"/>
  <c r="Y7" i="93"/>
  <c r="S18" i="84"/>
  <c r="R12" i="84"/>
  <c r="R13" i="84"/>
  <c r="B27" i="124"/>
  <c r="T23" i="7"/>
  <c r="AJ18" i="51"/>
  <c r="AA29" i="29"/>
  <c r="V18" i="51"/>
  <c r="BQ19" i="52"/>
  <c r="BS19" i="52" s="1"/>
  <c r="BT19" i="52" s="1"/>
  <c r="BF18" i="51"/>
  <c r="BG18" i="51" s="1"/>
  <c r="BK18" i="51"/>
  <c r="BN18" i="51" s="1"/>
  <c r="BH18" i="51"/>
  <c r="AP18" i="51"/>
  <c r="BL18" i="51"/>
  <c r="BM18" i="51" s="1"/>
  <c r="AN18" i="51"/>
  <c r="CG18" i="51"/>
  <c r="CI18" i="51" s="1"/>
  <c r="CJ18" i="51" s="1"/>
  <c r="BC24" i="52"/>
  <c r="BF24" i="52" s="1"/>
  <c r="BD24" i="52"/>
  <c r="BE24" i="52" s="1"/>
  <c r="AZ24" i="52"/>
  <c r="AX24" i="52"/>
  <c r="AY24" i="52" s="1"/>
  <c r="BD20" i="52"/>
  <c r="BE20" i="52" s="1"/>
  <c r="AZ20" i="52"/>
  <c r="AX20" i="52"/>
  <c r="AY20" i="52" s="1"/>
  <c r="BC20" i="52"/>
  <c r="BF20" i="52" s="1"/>
  <c r="CB25" i="52"/>
  <c r="BT24" i="52"/>
  <c r="BX24" i="52"/>
  <c r="CB22" i="52"/>
  <c r="AZ25" i="52"/>
  <c r="AX25" i="52"/>
  <c r="AY25" i="52" s="1"/>
  <c r="BD25" i="52"/>
  <c r="BE25" i="52" s="1"/>
  <c r="BC25" i="52"/>
  <c r="BF25" i="52" s="1"/>
  <c r="BT22" i="52"/>
  <c r="BX22" i="52"/>
  <c r="BD22" i="52"/>
  <c r="BE22" i="52" s="1"/>
  <c r="AZ22" i="52"/>
  <c r="AX22" i="52"/>
  <c r="AY22" i="52" s="1"/>
  <c r="BC22" i="52"/>
  <c r="BF22" i="52" s="1"/>
  <c r="CB21" i="52"/>
  <c r="CB23" i="52"/>
  <c r="AX21" i="52"/>
  <c r="AY21" i="52" s="1"/>
  <c r="AZ21" i="52"/>
  <c r="BC21" i="52"/>
  <c r="BF21" i="52" s="1"/>
  <c r="BD21" i="52"/>
  <c r="BE21" i="52" s="1"/>
  <c r="BX25" i="52"/>
  <c r="BT25" i="52"/>
  <c r="BT20" i="52"/>
  <c r="AX23" i="52"/>
  <c r="AY23" i="52" s="1"/>
  <c r="AZ23" i="52"/>
  <c r="BC23" i="52"/>
  <c r="BF23" i="52" s="1"/>
  <c r="BD23" i="52"/>
  <c r="BE23" i="52" s="1"/>
  <c r="BT21" i="52"/>
  <c r="BX21" i="52"/>
  <c r="BT23" i="52"/>
  <c r="BX23" i="52"/>
  <c r="CB24" i="52"/>
  <c r="AI29" i="29"/>
  <c r="BB34" i="29"/>
  <c r="BB32" i="29"/>
  <c r="BB31" i="29"/>
  <c r="BB30" i="29"/>
  <c r="BM29" i="29"/>
  <c r="BN29" i="29" s="1"/>
  <c r="BM28" i="29"/>
  <c r="BN28" i="29" s="1"/>
  <c r="AI28" i="29"/>
  <c r="T22" i="7"/>
  <c r="V22" i="7"/>
  <c r="T25" i="7"/>
  <c r="V25" i="7"/>
  <c r="T24" i="7"/>
  <c r="V24" i="7"/>
  <c r="V26" i="7"/>
  <c r="T26" i="7"/>
  <c r="AM29" i="29"/>
  <c r="N20" i="52"/>
  <c r="H8" i="10"/>
  <c r="H10" i="10"/>
  <c r="H9" i="10"/>
  <c r="X8" i="10"/>
  <c r="X10" i="10"/>
  <c r="X9" i="10"/>
  <c r="F9" i="10"/>
  <c r="F8" i="10"/>
  <c r="F10" i="10"/>
  <c r="AK24" i="29"/>
  <c r="AL19" i="52"/>
  <c r="BF24" i="29"/>
  <c r="AJ24" i="29"/>
  <c r="AH24" i="29"/>
  <c r="BB24" i="29"/>
  <c r="AM28" i="29"/>
  <c r="AN24" i="29"/>
  <c r="AI24" i="29"/>
  <c r="BC24" i="29"/>
  <c r="AM24" i="29"/>
  <c r="X24" i="29"/>
  <c r="Y24" i="29" s="1"/>
  <c r="AG24" i="29"/>
  <c r="AF24" i="29"/>
  <c r="AL24" i="29"/>
  <c r="AB24" i="29"/>
  <c r="AE24" i="29"/>
  <c r="AL21" i="29"/>
  <c r="AH21" i="29"/>
  <c r="AM21" i="29"/>
  <c r="AG21" i="29"/>
  <c r="AK21" i="29"/>
  <c r="BB21" i="29"/>
  <c r="BF21" i="29"/>
  <c r="AI21" i="29"/>
  <c r="AF21" i="29"/>
  <c r="AN21" i="29"/>
  <c r="AE21" i="29"/>
  <c r="AA21" i="29"/>
  <c r="BC21" i="29"/>
  <c r="X21" i="29"/>
  <c r="Y21" i="29" s="1"/>
  <c r="AB21" i="29"/>
  <c r="AJ21" i="29"/>
  <c r="AH20" i="29"/>
  <c r="AG20" i="29"/>
  <c r="AN20" i="29"/>
  <c r="X20" i="29"/>
  <c r="Y20" i="29" s="1"/>
  <c r="BC20" i="29"/>
  <c r="BB20" i="29"/>
  <c r="AB20" i="29"/>
  <c r="AF20" i="29"/>
  <c r="AL20" i="29"/>
  <c r="AA20" i="29"/>
  <c r="AJ20" i="29"/>
  <c r="AI20" i="29"/>
  <c r="AM20" i="29"/>
  <c r="AK20" i="29"/>
  <c r="AE20" i="29"/>
  <c r="BF20" i="29"/>
  <c r="AK19" i="29"/>
  <c r="AI19" i="29"/>
  <c r="BB19" i="29"/>
  <c r="AA19" i="29"/>
  <c r="AG19" i="29"/>
  <c r="AB19" i="29"/>
  <c r="AJ19" i="29"/>
  <c r="X19" i="29"/>
  <c r="Y19" i="29" s="1"/>
  <c r="AN19" i="29"/>
  <c r="BC19" i="29"/>
  <c r="BF19" i="29"/>
  <c r="AF19" i="29"/>
  <c r="AM19" i="29"/>
  <c r="AE19" i="29"/>
  <c r="AL19" i="29"/>
  <c r="AH19" i="29"/>
  <c r="X23" i="29"/>
  <c r="AK22" i="29"/>
  <c r="BF22" i="29"/>
  <c r="BC22" i="29"/>
  <c r="AI22" i="29"/>
  <c r="AL22" i="29"/>
  <c r="AE22" i="29"/>
  <c r="AB22" i="29"/>
  <c r="AA22" i="29"/>
  <c r="BB22" i="29"/>
  <c r="AF22" i="29"/>
  <c r="AN22" i="29"/>
  <c r="AG22" i="29"/>
  <c r="AM22" i="29"/>
  <c r="AJ22" i="29"/>
  <c r="AH22" i="29"/>
  <c r="AH25" i="29"/>
  <c r="AN25" i="29"/>
  <c r="X25" i="29"/>
  <c r="Y25" i="29" s="1"/>
  <c r="AM25" i="29"/>
  <c r="BF25" i="29"/>
  <c r="AJ25" i="29"/>
  <c r="AF25" i="29"/>
  <c r="AI25" i="29"/>
  <c r="AA25" i="29"/>
  <c r="BC25" i="29"/>
  <c r="AK25" i="29"/>
  <c r="AE25" i="29"/>
  <c r="BB25" i="29"/>
  <c r="AB25" i="29"/>
  <c r="AL25" i="29"/>
  <c r="AG25" i="29"/>
  <c r="AI23" i="29"/>
  <c r="AN23" i="29"/>
  <c r="AF23" i="29"/>
  <c r="AM23" i="29"/>
  <c r="AK23" i="29"/>
  <c r="AH23" i="29"/>
  <c r="AA23" i="29"/>
  <c r="BC23" i="29"/>
  <c r="AJ23" i="29"/>
  <c r="BB23" i="29"/>
  <c r="AE23" i="29"/>
  <c r="AB23" i="29"/>
  <c r="BF23" i="29"/>
  <c r="AG23" i="29"/>
  <c r="AL23" i="29"/>
  <c r="AE28" i="29"/>
  <c r="X28" i="29"/>
  <c r="Y28" i="29" s="1"/>
  <c r="AB28" i="29"/>
  <c r="AA28" i="29"/>
  <c r="AH19" i="52"/>
  <c r="AX19" i="52"/>
  <c r="AY19" i="52" s="1"/>
  <c r="BC19" i="52"/>
  <c r="BF19" i="52" s="1"/>
  <c r="BD19" i="52"/>
  <c r="BE19" i="52" s="1"/>
  <c r="BZ19" i="52"/>
  <c r="CA19" i="52" s="1"/>
  <c r="CB19" i="52" s="1"/>
  <c r="AW19" i="52"/>
  <c r="CI19" i="51"/>
  <c r="CJ19" i="51" s="1"/>
  <c r="AT22" i="51"/>
  <c r="AK22" i="51"/>
  <c r="AP22" i="51"/>
  <c r="BE22" i="51"/>
  <c r="CH22" i="51"/>
  <c r="CI22" i="51" s="1"/>
  <c r="CJ22" i="51" s="1"/>
  <c r="BL22" i="51"/>
  <c r="BM22" i="51" s="1"/>
  <c r="BF22" i="51"/>
  <c r="BG22" i="51" s="1"/>
  <c r="BH22" i="51"/>
  <c r="BI19" i="51"/>
  <c r="BJ19" i="51" s="1"/>
  <c r="BO19" i="51" s="1"/>
  <c r="BD19" i="51" s="1"/>
  <c r="T20" i="51"/>
  <c r="M20" i="51"/>
  <c r="CG20" i="51"/>
  <c r="AP20" i="51"/>
  <c r="AB29" i="29"/>
  <c r="CI17" i="51"/>
  <c r="CJ17" i="51" s="1"/>
  <c r="CH20" i="51"/>
  <c r="V20" i="51"/>
  <c r="AN20" i="51"/>
  <c r="BF20" i="51"/>
  <c r="BG20" i="51" s="1"/>
  <c r="BE20" i="51"/>
  <c r="BL20" i="51"/>
  <c r="BM20" i="51" s="1"/>
  <c r="BH20" i="51"/>
  <c r="BK20" i="51"/>
  <c r="BN20" i="51" s="1"/>
  <c r="P24" i="52"/>
  <c r="A13" i="46"/>
  <c r="L14" i="46"/>
  <c r="A14" i="46" s="1"/>
  <c r="B15" i="46"/>
  <c r="BH29" i="51"/>
  <c r="BK29" i="51"/>
  <c r="BN29" i="51" s="1"/>
  <c r="BF29" i="51"/>
  <c r="BG29" i="51" s="1"/>
  <c r="BL29" i="51"/>
  <c r="BM29" i="51" s="1"/>
  <c r="AE29" i="29"/>
  <c r="X29" i="29"/>
  <c r="Y29" i="29" s="1"/>
  <c r="AN23" i="51"/>
  <c r="AK23" i="51"/>
  <c r="CG23" i="51"/>
  <c r="BE23" i="51"/>
  <c r="CH23" i="51"/>
  <c r="AP23" i="51"/>
  <c r="AP29" i="51"/>
  <c r="CH29" i="51"/>
  <c r="CG29" i="51"/>
  <c r="BE29" i="51"/>
  <c r="BK23" i="51"/>
  <c r="BN23" i="51" s="1"/>
  <c r="BL23" i="51"/>
  <c r="BM23" i="51" s="1"/>
  <c r="BF23" i="51"/>
  <c r="BG23" i="51" s="1"/>
  <c r="BH23" i="51"/>
  <c r="AN29" i="51"/>
  <c r="AK29" i="51"/>
  <c r="CG28" i="51"/>
  <c r="CH28" i="51"/>
  <c r="BE28" i="51"/>
  <c r="AP28" i="51"/>
  <c r="CG27" i="51"/>
  <c r="CH27" i="51"/>
  <c r="BE27" i="51"/>
  <c r="AP27" i="51"/>
  <c r="P22" i="52"/>
  <c r="BL25" i="51"/>
  <c r="BM25" i="51" s="1"/>
  <c r="BH25" i="51"/>
  <c r="BF25" i="51"/>
  <c r="BG25" i="51" s="1"/>
  <c r="BK25" i="51"/>
  <c r="BN25" i="51" s="1"/>
  <c r="P23" i="52"/>
  <c r="CG26" i="51"/>
  <c r="BE26" i="51"/>
  <c r="AP26" i="51"/>
  <c r="CH26" i="51"/>
  <c r="BK26" i="51"/>
  <c r="BN26" i="51" s="1"/>
  <c r="BL26" i="51"/>
  <c r="BM26" i="51" s="1"/>
  <c r="BF26" i="51"/>
  <c r="BG26" i="51" s="1"/>
  <c r="BH26" i="51"/>
  <c r="AN26" i="51"/>
  <c r="AK26" i="51"/>
  <c r="AN25" i="51"/>
  <c r="AK25" i="51"/>
  <c r="AN24" i="51"/>
  <c r="AK24" i="51"/>
  <c r="BH24" i="51"/>
  <c r="BL24" i="51"/>
  <c r="BM24" i="51" s="1"/>
  <c r="BK24" i="51"/>
  <c r="BN24" i="51" s="1"/>
  <c r="BF24" i="51"/>
  <c r="BG24" i="51" s="1"/>
  <c r="AN27" i="51"/>
  <c r="AK27" i="51"/>
  <c r="BH28" i="51"/>
  <c r="BL28" i="51"/>
  <c r="BM28" i="51" s="1"/>
  <c r="BF28" i="51"/>
  <c r="BG28" i="51" s="1"/>
  <c r="BK28" i="51"/>
  <c r="BN28" i="51" s="1"/>
  <c r="P25" i="52"/>
  <c r="AP25" i="51"/>
  <c r="CH25" i="51"/>
  <c r="BE25" i="51"/>
  <c r="CG25" i="51"/>
  <c r="BH27" i="51"/>
  <c r="BF27" i="51"/>
  <c r="BG27" i="51" s="1"/>
  <c r="BK27" i="51"/>
  <c r="BN27" i="51" s="1"/>
  <c r="BL27" i="51"/>
  <c r="BM27" i="51" s="1"/>
  <c r="P21" i="52"/>
  <c r="AN28" i="51"/>
  <c r="AK28" i="51"/>
  <c r="CG24" i="51"/>
  <c r="BE24" i="51"/>
  <c r="AP24" i="51"/>
  <c r="CH24" i="51"/>
  <c r="CB20" i="52" l="1"/>
  <c r="W20" i="52"/>
  <c r="BX20" i="52" s="1"/>
  <c r="Y8" i="93"/>
  <c r="Q8" i="93" s="1"/>
  <c r="S16" i="84"/>
  <c r="P32" i="29"/>
  <c r="W28" i="29"/>
  <c r="BD28" i="29" s="1"/>
  <c r="Z28" i="29" s="1"/>
  <c r="P34" i="29"/>
  <c r="P33" i="29"/>
  <c r="P36" i="29"/>
  <c r="P35" i="29"/>
  <c r="BI18" i="51"/>
  <c r="BJ18" i="51" s="1"/>
  <c r="BO18" i="51" s="1"/>
  <c r="BD18" i="51" s="1"/>
  <c r="AQ18" i="51" s="1"/>
  <c r="AV18" i="51" s="1"/>
  <c r="AW18" i="51" s="1"/>
  <c r="AX18" i="51" s="1"/>
  <c r="K30" i="52"/>
  <c r="K26" i="52"/>
  <c r="K27" i="52"/>
  <c r="K28" i="52"/>
  <c r="K29" i="52"/>
  <c r="K31" i="52"/>
  <c r="AL29" i="29"/>
  <c r="AF29" i="29"/>
  <c r="AG29" i="29"/>
  <c r="AF28" i="29"/>
  <c r="AG28" i="29"/>
  <c r="AL28" i="29"/>
  <c r="BB36" i="29"/>
  <c r="BC32" i="29"/>
  <c r="BC30" i="29"/>
  <c r="BC34" i="29"/>
  <c r="BC33" i="29"/>
  <c r="BC31" i="29"/>
  <c r="AN28" i="29"/>
  <c r="CG28" i="29"/>
  <c r="CK29" i="29"/>
  <c r="CG29" i="29"/>
  <c r="CC28" i="29"/>
  <c r="CH28" i="29"/>
  <c r="CI28" i="29"/>
  <c r="CA28" i="29"/>
  <c r="CF29" i="29"/>
  <c r="CA29" i="29"/>
  <c r="CJ29" i="29"/>
  <c r="CI29" i="29"/>
  <c r="CH29" i="29"/>
  <c r="CD29" i="29"/>
  <c r="BS28" i="29"/>
  <c r="CB28" i="29"/>
  <c r="BX28" i="29"/>
  <c r="BW28" i="29"/>
  <c r="BY28" i="29"/>
  <c r="BV28" i="29"/>
  <c r="BX29" i="29"/>
  <c r="CB29" i="29"/>
  <c r="CC29" i="29"/>
  <c r="BW29" i="29"/>
  <c r="BS29" i="29"/>
  <c r="W24" i="29"/>
  <c r="BD24" i="29" s="1"/>
  <c r="Z24" i="29" s="1"/>
  <c r="Y23" i="29"/>
  <c r="W23" i="29" s="1"/>
  <c r="BD23" i="29" s="1"/>
  <c r="W19" i="29"/>
  <c r="BD19" i="29" s="1"/>
  <c r="Z19" i="29" s="1"/>
  <c r="W20" i="29"/>
  <c r="BD20" i="29" s="1"/>
  <c r="Z20" i="29" s="1"/>
  <c r="W25" i="29"/>
  <c r="BD25" i="29" s="1"/>
  <c r="AC25" i="29" s="1"/>
  <c r="W21" i="29"/>
  <c r="Y22" i="29"/>
  <c r="W22" i="29" s="1"/>
  <c r="BD22" i="29" s="1"/>
  <c r="Z22" i="29" s="1"/>
  <c r="AQ19" i="51"/>
  <c r="AV19" i="51" s="1"/>
  <c r="AW19" i="51" s="1"/>
  <c r="BU19" i="51"/>
  <c r="BX19" i="51" s="1"/>
  <c r="CM19" i="51" s="1"/>
  <c r="S19" i="51" s="1"/>
  <c r="AY18" i="51"/>
  <c r="AZ18" i="51" s="1"/>
  <c r="U18" i="51"/>
  <c r="CI20" i="51"/>
  <c r="CJ20" i="51" s="1"/>
  <c r="BI20" i="51"/>
  <c r="BJ20" i="51" s="1"/>
  <c r="BO20" i="51" s="1"/>
  <c r="BD20" i="51" s="1"/>
  <c r="B16" i="46"/>
  <c r="L15" i="46"/>
  <c r="A15" i="46" s="1"/>
  <c r="E14" i="46"/>
  <c r="D14" i="46"/>
  <c r="C14" i="46"/>
  <c r="E13" i="46"/>
  <c r="F13" i="46"/>
  <c r="D13" i="46"/>
  <c r="C13" i="46"/>
  <c r="AN29" i="29"/>
  <c r="W29" i="29"/>
  <c r="CI29" i="51"/>
  <c r="CJ29" i="51" s="1"/>
  <c r="CI23" i="51"/>
  <c r="CJ23" i="51" s="1"/>
  <c r="CI24" i="51"/>
  <c r="CJ24" i="51" s="1"/>
  <c r="AS29" i="51"/>
  <c r="AU23" i="51"/>
  <c r="AS23" i="51"/>
  <c r="AT23" i="51"/>
  <c r="CI26" i="51"/>
  <c r="CJ26" i="51" s="1"/>
  <c r="AS28" i="51"/>
  <c r="AS25" i="51"/>
  <c r="CI27" i="51"/>
  <c r="CJ27" i="51" s="1"/>
  <c r="CI28" i="51"/>
  <c r="CJ28" i="51" s="1"/>
  <c r="AS24" i="51"/>
  <c r="AS26" i="51"/>
  <c r="CI25" i="51"/>
  <c r="CJ25" i="51" s="1"/>
  <c r="AS27" i="51"/>
  <c r="BZ18" i="51"/>
  <c r="BY18" i="51"/>
  <c r="BQ18" i="51"/>
  <c r="CJ28" i="29" l="1"/>
  <c r="BD29" i="29"/>
  <c r="Z29" i="29" s="1"/>
  <c r="AC28" i="29"/>
  <c r="AD28" i="29" s="1"/>
  <c r="BS18" i="51"/>
  <c r="BV18" i="51" s="1"/>
  <c r="BU18" i="51"/>
  <c r="BX18" i="51" s="1"/>
  <c r="CM18" i="51" s="1"/>
  <c r="S18" i="51" s="1"/>
  <c r="AS28" i="52"/>
  <c r="BA28" i="52"/>
  <c r="BB28" i="52" s="1"/>
  <c r="BG28" i="52" s="1"/>
  <c r="AV28" i="52" s="1"/>
  <c r="AI28" i="52" s="1"/>
  <c r="AS27" i="52"/>
  <c r="BA27" i="52"/>
  <c r="BB27" i="52" s="1"/>
  <c r="BG27" i="52" s="1"/>
  <c r="AV27" i="52" s="1"/>
  <c r="AI27" i="52" s="1"/>
  <c r="AS26" i="52"/>
  <c r="BA26" i="52"/>
  <c r="BB26" i="52" s="1"/>
  <c r="BG26" i="52" s="1"/>
  <c r="AV26" i="52" s="1"/>
  <c r="AI26" i="52" s="1"/>
  <c r="AS30" i="52"/>
  <c r="BA30" i="52"/>
  <c r="BB30" i="52" s="1"/>
  <c r="BG30" i="52" s="1"/>
  <c r="AV30" i="52" s="1"/>
  <c r="AS31" i="52"/>
  <c r="BA31" i="52"/>
  <c r="BB31" i="52" s="1"/>
  <c r="BG31" i="52" s="1"/>
  <c r="AV31" i="52" s="1"/>
  <c r="AS29" i="52"/>
  <c r="BA29" i="52"/>
  <c r="BB29" i="52" s="1"/>
  <c r="BG29" i="52" s="1"/>
  <c r="AV29" i="52" s="1"/>
  <c r="AI29" i="52" s="1"/>
  <c r="AJ29" i="29"/>
  <c r="AJ28" i="29"/>
  <c r="BC29" i="29"/>
  <c r="BB35" i="29"/>
  <c r="BC36" i="29"/>
  <c r="CD28" i="29"/>
  <c r="AC22" i="29"/>
  <c r="AD22" i="29" s="1"/>
  <c r="CJ32" i="51"/>
  <c r="Q25" i="53" s="1"/>
  <c r="U19" i="51"/>
  <c r="AY19" i="51"/>
  <c r="AX19" i="51"/>
  <c r="Z23" i="29"/>
  <c r="AC23" i="29"/>
  <c r="AC24" i="29"/>
  <c r="AD24" i="29" s="1"/>
  <c r="BD21" i="29"/>
  <c r="Z21" i="29" s="1"/>
  <c r="AC20" i="29"/>
  <c r="AD20" i="29" s="1"/>
  <c r="AC19" i="29"/>
  <c r="AD19" i="29" s="1"/>
  <c r="Z25" i="29"/>
  <c r="AD25" i="29" s="1"/>
  <c r="BB28" i="29"/>
  <c r="W18" i="51"/>
  <c r="BU20" i="51"/>
  <c r="BX20" i="51" s="1"/>
  <c r="CM20" i="51" s="1"/>
  <c r="S20" i="51" s="1"/>
  <c r="AQ20" i="51"/>
  <c r="S17" i="51"/>
  <c r="J13" i="46"/>
  <c r="I13" i="46"/>
  <c r="K13" i="46"/>
  <c r="C15" i="46"/>
  <c r="D15" i="46"/>
  <c r="E15" i="46"/>
  <c r="B17" i="46"/>
  <c r="L16" i="46"/>
  <c r="BR18" i="51"/>
  <c r="BT18" i="51" s="1"/>
  <c r="BW18" i="51" s="1"/>
  <c r="CD18" i="51"/>
  <c r="CC18" i="51"/>
  <c r="CA18" i="51"/>
  <c r="CB18" i="51" s="1"/>
  <c r="AC29" i="29" l="1"/>
  <c r="CK18" i="51"/>
  <c r="Q18" i="51" s="1"/>
  <c r="AK35" i="29"/>
  <c r="AK34" i="29"/>
  <c r="AK36" i="29"/>
  <c r="AK31" i="29"/>
  <c r="AK32" i="29"/>
  <c r="AV20" i="51"/>
  <c r="AW20" i="51" s="1"/>
  <c r="U20" i="51" s="1"/>
  <c r="AR20" i="51"/>
  <c r="AJ26" i="52"/>
  <c r="AN26" i="52"/>
  <c r="AJ28" i="52"/>
  <c r="AN28" i="52"/>
  <c r="AJ27" i="52"/>
  <c r="AN27" i="52"/>
  <c r="BK26" i="52"/>
  <c r="BN26" i="52" s="1"/>
  <c r="CC26" i="52" s="1"/>
  <c r="R26" i="52" s="1"/>
  <c r="BL26" i="52"/>
  <c r="BO26" i="52" s="1"/>
  <c r="CD26" i="52" s="1"/>
  <c r="S26" i="52" s="1"/>
  <c r="BM26" i="52"/>
  <c r="BP26" i="52" s="1"/>
  <c r="CE26" i="52" s="1"/>
  <c r="T26" i="52" s="1"/>
  <c r="BK30" i="52"/>
  <c r="BN30" i="52" s="1"/>
  <c r="CC30" i="52" s="1"/>
  <c r="R30" i="52" s="1"/>
  <c r="BL30" i="52"/>
  <c r="BO30" i="52" s="1"/>
  <c r="CD30" i="52" s="1"/>
  <c r="S30" i="52" s="1"/>
  <c r="BM30" i="52"/>
  <c r="BP30" i="52" s="1"/>
  <c r="CE30" i="52" s="1"/>
  <c r="T30" i="52" s="1"/>
  <c r="BM29" i="52"/>
  <c r="BP29" i="52" s="1"/>
  <c r="CE29" i="52" s="1"/>
  <c r="T29" i="52" s="1"/>
  <c r="BK29" i="52"/>
  <c r="BN29" i="52" s="1"/>
  <c r="CC29" i="52" s="1"/>
  <c r="R29" i="52" s="1"/>
  <c r="BL29" i="52"/>
  <c r="BO29" i="52" s="1"/>
  <c r="CD29" i="52" s="1"/>
  <c r="S29" i="52" s="1"/>
  <c r="AI30" i="52"/>
  <c r="AJ29" i="52"/>
  <c r="AN29" i="52"/>
  <c r="BM28" i="52"/>
  <c r="BP28" i="52" s="1"/>
  <c r="CE28" i="52" s="1"/>
  <c r="T28" i="52" s="1"/>
  <c r="BL28" i="52"/>
  <c r="BO28" i="52" s="1"/>
  <c r="CD28" i="52" s="1"/>
  <c r="S28" i="52" s="1"/>
  <c r="BK28" i="52"/>
  <c r="BN28" i="52" s="1"/>
  <c r="CC28" i="52" s="1"/>
  <c r="R28" i="52" s="1"/>
  <c r="BL31" i="52"/>
  <c r="BO31" i="52" s="1"/>
  <c r="CD31" i="52" s="1"/>
  <c r="S31" i="52" s="1"/>
  <c r="BM31" i="52"/>
  <c r="BP31" i="52" s="1"/>
  <c r="CE31" i="52" s="1"/>
  <c r="T31" i="52" s="1"/>
  <c r="BK31" i="52"/>
  <c r="BN31" i="52" s="1"/>
  <c r="CC31" i="52" s="1"/>
  <c r="R31" i="52" s="1"/>
  <c r="BK27" i="52"/>
  <c r="BN27" i="52" s="1"/>
  <c r="CC27" i="52" s="1"/>
  <c r="R27" i="52" s="1"/>
  <c r="BM27" i="52"/>
  <c r="BP27" i="52" s="1"/>
  <c r="CE27" i="52" s="1"/>
  <c r="T27" i="52" s="1"/>
  <c r="BL27" i="52"/>
  <c r="BO27" i="52" s="1"/>
  <c r="CD27" i="52" s="1"/>
  <c r="S27" i="52" s="1"/>
  <c r="AI31" i="52"/>
  <c r="AK29" i="29"/>
  <c r="AK30" i="29"/>
  <c r="AK33" i="29"/>
  <c r="BC35" i="29"/>
  <c r="BC28" i="29"/>
  <c r="BB29" i="29"/>
  <c r="AD23" i="29"/>
  <c r="BZ19" i="51"/>
  <c r="BY19" i="51"/>
  <c r="BQ19" i="51"/>
  <c r="BS19" i="51" s="1"/>
  <c r="BV19" i="51" s="1"/>
  <c r="W19" i="51"/>
  <c r="AZ19" i="51"/>
  <c r="AC21" i="29"/>
  <c r="AD21" i="29" s="1"/>
  <c r="W17" i="51"/>
  <c r="S32" i="51"/>
  <c r="J25" i="53" s="1"/>
  <c r="A16" i="46"/>
  <c r="L17" i="46"/>
  <c r="A17" i="46" s="1"/>
  <c r="B18" i="46"/>
  <c r="L18" i="46" s="1"/>
  <c r="CE18" i="51"/>
  <c r="CF18" i="51" s="1"/>
  <c r="CL18" i="51" s="1"/>
  <c r="R18" i="51" s="1"/>
  <c r="X18" i="51" s="1"/>
  <c r="AX20" i="51" l="1"/>
  <c r="BQ20" i="51" s="1"/>
  <c r="BS20" i="51" s="1"/>
  <c r="BV20" i="51" s="1"/>
  <c r="H13" i="46"/>
  <c r="Y27" i="52"/>
  <c r="Y28" i="52"/>
  <c r="Y30" i="52"/>
  <c r="AJ30" i="52"/>
  <c r="AN30" i="52"/>
  <c r="AN31" i="52"/>
  <c r="AJ31" i="52"/>
  <c r="Y26" i="52"/>
  <c r="Y31" i="52"/>
  <c r="Y29" i="52"/>
  <c r="AK28" i="29"/>
  <c r="AD29" i="29"/>
  <c r="BR19" i="51"/>
  <c r="BT19" i="51" s="1"/>
  <c r="BW19" i="51" s="1"/>
  <c r="CC19" i="51"/>
  <c r="CD19" i="51"/>
  <c r="CA19" i="51"/>
  <c r="CB19" i="51" s="1"/>
  <c r="CK19" i="51" s="1"/>
  <c r="Q19" i="51" s="1"/>
  <c r="A18" i="46"/>
  <c r="E18" i="46" s="1"/>
  <c r="AY20" i="51"/>
  <c r="N25" i="53"/>
  <c r="U25" i="53"/>
  <c r="N6" i="46"/>
  <c r="O8" i="46" s="1"/>
  <c r="N8" i="46" s="1"/>
  <c r="C17" i="46"/>
  <c r="E17" i="46"/>
  <c r="D17" i="46"/>
  <c r="F17" i="46"/>
  <c r="E16" i="46"/>
  <c r="D16" i="46"/>
  <c r="C16" i="46"/>
  <c r="BZ20" i="51" l="1"/>
  <c r="BY20" i="51"/>
  <c r="G13" i="46"/>
  <c r="CE19" i="51"/>
  <c r="CF19" i="51" s="1"/>
  <c r="CL19" i="51" s="1"/>
  <c r="R17" i="51"/>
  <c r="D18" i="46"/>
  <c r="F18" i="46"/>
  <c r="C18" i="46"/>
  <c r="L6" i="46"/>
  <c r="N7" i="46" s="1"/>
  <c r="AZ20" i="51"/>
  <c r="W20" i="51"/>
  <c r="Q17" i="51"/>
  <c r="CA20" i="51" l="1"/>
  <c r="CB20" i="51" s="1"/>
  <c r="CK20" i="51" s="1"/>
  <c r="R19" i="51"/>
  <c r="X19" i="51" s="1"/>
  <c r="M8" i="46"/>
  <c r="L8" i="46" s="1"/>
  <c r="L7" i="46"/>
  <c r="M7" i="46" s="1"/>
  <c r="BR20" i="51"/>
  <c r="BT20" i="51" s="1"/>
  <c r="BW20" i="51" s="1"/>
  <c r="CD20" i="51"/>
  <c r="CC20" i="51"/>
  <c r="X17" i="51"/>
  <c r="N4" i="46"/>
  <c r="O7" i="46"/>
  <c r="Q20" i="51" l="1"/>
  <c r="Q32" i="51" s="1"/>
  <c r="AF23" i="53" s="1"/>
  <c r="L4" i="46"/>
  <c r="CE20" i="51"/>
  <c r="CF20" i="51" s="1"/>
  <c r="J23" i="53" l="1"/>
  <c r="N23" i="53" s="1"/>
  <c r="CL20" i="51"/>
  <c r="Y23" i="53"/>
  <c r="Q23" i="53"/>
  <c r="R20" i="51" l="1"/>
  <c r="U23" i="53"/>
  <c r="AC23" i="53"/>
  <c r="R32" i="51" l="1"/>
  <c r="X20" i="51"/>
  <c r="BI19" i="52" l="1"/>
  <c r="BJ19" i="52" l="1"/>
  <c r="BV19" i="52" l="1"/>
  <c r="BU19" i="52"/>
  <c r="BW19" i="52" l="1"/>
  <c r="BX19" i="52" l="1"/>
  <c r="I46" i="91" l="1"/>
  <c r="K46" i="91" s="1"/>
  <c r="K47" i="91"/>
  <c r="AC22" i="50" l="1"/>
  <c r="B22" i="50" s="1"/>
  <c r="D22" i="50" s="1"/>
  <c r="B28" i="124" s="1"/>
  <c r="R22" i="50" l="1"/>
  <c r="J22" i="50"/>
  <c r="H22" i="50"/>
  <c r="Y22" i="50"/>
  <c r="AA22" i="50" s="1"/>
  <c r="S22" i="50"/>
  <c r="AB22" i="50"/>
  <c r="I22" i="50"/>
  <c r="U22" i="50"/>
  <c r="N22" i="50"/>
  <c r="E22" i="50"/>
  <c r="Z22" i="50"/>
  <c r="F22" i="50"/>
  <c r="T22" i="50"/>
  <c r="AD6" i="50"/>
  <c r="AM19" i="52" l="1"/>
  <c r="AU22" i="51"/>
  <c r="BE17" i="29"/>
  <c r="BF6" i="29" s="1"/>
  <c r="A17" i="29" l="1"/>
  <c r="C17" i="29" s="1"/>
  <c r="AA23" i="7" l="1"/>
  <c r="BZ23" i="7" s="1"/>
  <c r="AB23" i="7" s="1"/>
  <c r="AA19" i="7"/>
  <c r="AX17" i="29"/>
  <c r="AA24" i="7"/>
  <c r="AW17" i="29"/>
  <c r="AA20" i="7"/>
  <c r="AA22" i="7"/>
  <c r="P17" i="29"/>
  <c r="K17" i="29"/>
  <c r="F17" i="29"/>
  <c r="AY17" i="29"/>
  <c r="BA17" i="29" s="1"/>
  <c r="AZ17" i="29"/>
  <c r="V17" i="29"/>
  <c r="AA21" i="7"/>
  <c r="AA26" i="7"/>
  <c r="AA25" i="7"/>
  <c r="AA18" i="7"/>
  <c r="CF28" i="29" s="1"/>
  <c r="CK28" i="29" s="1"/>
  <c r="BV35" i="29" l="1"/>
  <c r="BY35" i="29" s="1"/>
  <c r="CF35" i="29"/>
  <c r="CK35" i="29" s="1"/>
  <c r="AA34" i="50"/>
  <c r="AA35" i="50"/>
  <c r="AJ29" i="51"/>
  <c r="CF33" i="29"/>
  <c r="CK33" i="29" s="1"/>
  <c r="BV33" i="29"/>
  <c r="BY33" i="29" s="1"/>
  <c r="BE23" i="7"/>
  <c r="BR23" i="7"/>
  <c r="AA33" i="50"/>
  <c r="AA32" i="50"/>
  <c r="AB25" i="52"/>
  <c r="AJ28" i="51"/>
  <c r="AB24" i="52"/>
  <c r="AB32" i="52"/>
  <c r="AJ27" i="51"/>
  <c r="AA27" i="50"/>
  <c r="AJ22" i="51"/>
  <c r="AB19" i="52"/>
  <c r="AA31" i="50"/>
  <c r="AB23" i="52"/>
  <c r="AJ26" i="51"/>
  <c r="AA30" i="50"/>
  <c r="AB22" i="52"/>
  <c r="AJ25" i="51"/>
  <c r="AA29" i="50"/>
  <c r="AB21" i="52"/>
  <c r="AJ24" i="51"/>
  <c r="AB20" i="52"/>
  <c r="AA28" i="50"/>
  <c r="AJ23" i="51"/>
  <c r="BV32" i="29"/>
  <c r="BY32" i="29" s="1"/>
  <c r="BV31" i="29"/>
  <c r="BY31" i="29" s="1"/>
  <c r="BV30" i="29"/>
  <c r="BY30" i="29" s="1"/>
  <c r="BZ29" i="29"/>
  <c r="CE29" i="29" s="1"/>
  <c r="AB33" i="52"/>
  <c r="BZ34" i="29"/>
  <c r="CE34" i="29" s="1"/>
  <c r="BP34" i="29"/>
  <c r="BZ25" i="7"/>
  <c r="AB25" i="7" s="1"/>
  <c r="BE25" i="7" s="1"/>
  <c r="BR34" i="29"/>
  <c r="BF34" i="29"/>
  <c r="BR33" i="29"/>
  <c r="BZ24" i="7"/>
  <c r="AB24" i="7" s="1"/>
  <c r="BE24" i="7" s="1"/>
  <c r="BZ33" i="29"/>
  <c r="CE33" i="29" s="1"/>
  <c r="BF33" i="29"/>
  <c r="BP33" i="29"/>
  <c r="BZ18" i="7"/>
  <c r="AB18" i="7" s="1"/>
  <c r="BE18" i="7" s="1"/>
  <c r="BZ28" i="29"/>
  <c r="CE28" i="29" s="1"/>
  <c r="BP28" i="29"/>
  <c r="BU28" i="29"/>
  <c r="BF28" i="29"/>
  <c r="BR28" i="29"/>
  <c r="BZ35" i="29"/>
  <c r="CE35" i="29" s="1"/>
  <c r="BF35" i="29"/>
  <c r="BP35" i="29"/>
  <c r="BZ26" i="7"/>
  <c r="AB26" i="7" s="1"/>
  <c r="BE26" i="7" s="1"/>
  <c r="BR35" i="29"/>
  <c r="H17" i="46"/>
  <c r="G14" i="46"/>
  <c r="G15" i="46"/>
  <c r="I16" i="46"/>
  <c r="G18" i="46"/>
  <c r="J16" i="46"/>
  <c r="K16" i="46"/>
  <c r="H15" i="46"/>
  <c r="I14" i="46"/>
  <c r="J18" i="46"/>
  <c r="K15" i="46"/>
  <c r="I17" i="46"/>
  <c r="H16" i="46"/>
  <c r="K18" i="46"/>
  <c r="G16" i="46"/>
  <c r="I18" i="46"/>
  <c r="K14" i="46"/>
  <c r="G17" i="46"/>
  <c r="J15" i="46"/>
  <c r="H14" i="46"/>
  <c r="J17" i="46"/>
  <c r="K17" i="46"/>
  <c r="J14" i="46"/>
  <c r="I15" i="46"/>
  <c r="H18" i="46"/>
  <c r="BF30" i="29"/>
  <c r="BP30" i="29"/>
  <c r="BR30" i="29"/>
  <c r="BZ30" i="29"/>
  <c r="CE30" i="29" s="1"/>
  <c r="BZ20" i="7"/>
  <c r="AB20" i="7" s="1"/>
  <c r="BE20" i="7" s="1"/>
  <c r="BV29" i="29"/>
  <c r="BY29" i="29" s="1"/>
  <c r="BZ19" i="7"/>
  <c r="AB19" i="7" s="1"/>
  <c r="BR19" i="7" s="1"/>
  <c r="BR29" i="29"/>
  <c r="BP29" i="29"/>
  <c r="BF29" i="29"/>
  <c r="BP32" i="29"/>
  <c r="BZ22" i="7"/>
  <c r="AB22" i="7" s="1"/>
  <c r="BE22" i="7" s="1"/>
  <c r="BR32" i="29"/>
  <c r="BF32" i="29"/>
  <c r="BZ32" i="29"/>
  <c r="CE32" i="29" s="1"/>
  <c r="AA17" i="29"/>
  <c r="AM17" i="29"/>
  <c r="X17" i="29"/>
  <c r="Y17" i="29" s="1"/>
  <c r="AI17" i="29"/>
  <c r="K11" i="46" s="1"/>
  <c r="AG17" i="29"/>
  <c r="BF17" i="29"/>
  <c r="BC17" i="29"/>
  <c r="AB17" i="29"/>
  <c r="Z17" i="29" s="1"/>
  <c r="H11" i="46" s="1"/>
  <c r="AE17" i="29"/>
  <c r="AF17" i="29"/>
  <c r="BZ31" i="29"/>
  <c r="CE31" i="29" s="1"/>
  <c r="BZ21" i="7"/>
  <c r="AB21" i="7" s="1"/>
  <c r="BE21" i="7" s="1"/>
  <c r="BP31" i="29"/>
  <c r="BF31" i="29"/>
  <c r="BR31" i="29"/>
  <c r="BP36" i="29"/>
  <c r="BZ36" i="29"/>
  <c r="CE36" i="29" s="1"/>
  <c r="BF36" i="29"/>
  <c r="BR36" i="29"/>
  <c r="BR26" i="7" l="1"/>
  <c r="BP23" i="7"/>
  <c r="AE23" i="7"/>
  <c r="BW23" i="7"/>
  <c r="BR20" i="7"/>
  <c r="BR25" i="7"/>
  <c r="BR24" i="7"/>
  <c r="BR22" i="7"/>
  <c r="BR21" i="7"/>
  <c r="AE21" i="7" s="1"/>
  <c r="AE19" i="7"/>
  <c r="BE19" i="7"/>
  <c r="BR18" i="7"/>
  <c r="AN17" i="29"/>
  <c r="AH17" i="29" s="1"/>
  <c r="BB17" i="29"/>
  <c r="W17" i="29"/>
  <c r="AC17" i="29" s="1"/>
  <c r="AD17" i="29" s="1"/>
  <c r="G11" i="46" s="1"/>
  <c r="I11" i="46"/>
  <c r="AE26" i="7" l="1"/>
  <c r="BP26" i="7"/>
  <c r="BW26" i="7"/>
  <c r="AE20" i="7"/>
  <c r="BW25" i="7"/>
  <c r="AE25" i="7"/>
  <c r="BP25" i="7"/>
  <c r="AE24" i="7"/>
  <c r="BP24" i="7"/>
  <c r="BW24" i="7"/>
  <c r="BP22" i="7"/>
  <c r="BW22" i="7"/>
  <c r="AE22" i="7"/>
  <c r="K20" i="52"/>
  <c r="J23" i="51"/>
  <c r="AE18" i="7"/>
  <c r="AH32" i="29"/>
  <c r="AH28" i="29"/>
  <c r="AH29" i="29"/>
  <c r="J11" i="46"/>
  <c r="AH34" i="29"/>
  <c r="AH30" i="29"/>
  <c r="AH33" i="29"/>
  <c r="AH31" i="29"/>
  <c r="AH36" i="29"/>
  <c r="AH35" i="29"/>
  <c r="AJ17" i="29"/>
  <c r="AK17" i="29"/>
  <c r="AL17" i="29"/>
  <c r="K32" i="52" l="1"/>
  <c r="BA32" i="52" s="1"/>
  <c r="BB32" i="52" s="1"/>
  <c r="BG32" i="52" s="1"/>
  <c r="AV32" i="52" s="1"/>
  <c r="AI32" i="52" s="1"/>
  <c r="J29" i="51"/>
  <c r="BA29" i="51" s="1"/>
  <c r="J24" i="51"/>
  <c r="BA24" i="51" s="1"/>
  <c r="K21" i="52"/>
  <c r="AS21" i="52" s="1"/>
  <c r="K33" i="52"/>
  <c r="J28" i="51"/>
  <c r="K25" i="52"/>
  <c r="J27" i="51"/>
  <c r="K24" i="52"/>
  <c r="J26" i="51"/>
  <c r="K23" i="52"/>
  <c r="J25" i="51"/>
  <c r="K22" i="52"/>
  <c r="BI23" i="51"/>
  <c r="BJ23" i="51" s="1"/>
  <c r="BO23" i="51" s="1"/>
  <c r="BD23" i="51" s="1"/>
  <c r="BU23" i="51" s="1"/>
  <c r="BX23" i="51" s="1"/>
  <c r="CM23" i="51" s="1"/>
  <c r="S23" i="51" s="1"/>
  <c r="BA23" i="51"/>
  <c r="AS20" i="52"/>
  <c r="BA20" i="52"/>
  <c r="BB20" i="52" s="1"/>
  <c r="BG20" i="52" s="1"/>
  <c r="AV20" i="52" s="1"/>
  <c r="K19" i="52"/>
  <c r="J22" i="51"/>
  <c r="AL32" i="52" l="1"/>
  <c r="AM32" i="52"/>
  <c r="AN32" i="52" s="1"/>
  <c r="AS32" i="52"/>
  <c r="BI29" i="51"/>
  <c r="BJ29" i="51" s="1"/>
  <c r="BO29" i="51" s="1"/>
  <c r="BD29" i="51" s="1"/>
  <c r="AQ29" i="51" s="1"/>
  <c r="AU29" i="51" s="1"/>
  <c r="BI24" i="51"/>
  <c r="BJ24" i="51" s="1"/>
  <c r="BO24" i="51" s="1"/>
  <c r="BD24" i="51" s="1"/>
  <c r="BU24" i="51" s="1"/>
  <c r="BX24" i="51" s="1"/>
  <c r="CM24" i="51" s="1"/>
  <c r="BA21" i="52"/>
  <c r="BB21" i="52" s="1"/>
  <c r="BG21" i="52" s="1"/>
  <c r="AV21" i="52" s="1"/>
  <c r="AI21" i="52" s="1"/>
  <c r="AJ21" i="52" s="1"/>
  <c r="AM21" i="52"/>
  <c r="AL21" i="52"/>
  <c r="BK32" i="52"/>
  <c r="BN32" i="52" s="1"/>
  <c r="CC32" i="52" s="1"/>
  <c r="R32" i="52" s="1"/>
  <c r="BL32" i="52"/>
  <c r="BO32" i="52" s="1"/>
  <c r="CD32" i="52" s="1"/>
  <c r="S32" i="52" s="1"/>
  <c r="BM32" i="52"/>
  <c r="BP32" i="52" s="1"/>
  <c r="CE32" i="52" s="1"/>
  <c r="T32" i="52" s="1"/>
  <c r="AS33" i="52"/>
  <c r="BA33" i="52"/>
  <c r="BB33" i="52" s="1"/>
  <c r="BG33" i="52" s="1"/>
  <c r="AV33" i="52" s="1"/>
  <c r="AJ32" i="52"/>
  <c r="AS25" i="52"/>
  <c r="BA25" i="52"/>
  <c r="BB25" i="52" s="1"/>
  <c r="BG25" i="52" s="1"/>
  <c r="AV25" i="52" s="1"/>
  <c r="BI28" i="51"/>
  <c r="BJ28" i="51" s="1"/>
  <c r="BO28" i="51" s="1"/>
  <c r="BD28" i="51" s="1"/>
  <c r="BU28" i="51" s="1"/>
  <c r="BX28" i="51" s="1"/>
  <c r="CM28" i="51" s="1"/>
  <c r="S28" i="51" s="1"/>
  <c r="BA28" i="51"/>
  <c r="BA24" i="52"/>
  <c r="BB24" i="52" s="1"/>
  <c r="BG24" i="52" s="1"/>
  <c r="AV24" i="52" s="1"/>
  <c r="AI24" i="52" s="1"/>
  <c r="AM24" i="52" s="1"/>
  <c r="AS24" i="52"/>
  <c r="BI27" i="51"/>
  <c r="BJ27" i="51" s="1"/>
  <c r="BO27" i="51" s="1"/>
  <c r="BD27" i="51" s="1"/>
  <c r="BU27" i="51" s="1"/>
  <c r="BX27" i="51" s="1"/>
  <c r="CM27" i="51" s="1"/>
  <c r="S27" i="51" s="1"/>
  <c r="BA27" i="51"/>
  <c r="BA23" i="52"/>
  <c r="BB23" i="52" s="1"/>
  <c r="BG23" i="52" s="1"/>
  <c r="AV23" i="52" s="1"/>
  <c r="AI23" i="52" s="1"/>
  <c r="AS23" i="52"/>
  <c r="BA26" i="51"/>
  <c r="BI26" i="51"/>
  <c r="BJ26" i="51" s="1"/>
  <c r="BO26" i="51" s="1"/>
  <c r="BD26" i="51" s="1"/>
  <c r="AS22" i="52"/>
  <c r="BA22" i="52"/>
  <c r="BB22" i="52" s="1"/>
  <c r="BG22" i="52" s="1"/>
  <c r="AV22" i="52" s="1"/>
  <c r="BA25" i="51"/>
  <c r="BI25" i="51"/>
  <c r="BJ25" i="51" s="1"/>
  <c r="BO25" i="51" s="1"/>
  <c r="BD25" i="51" s="1"/>
  <c r="AI20" i="52"/>
  <c r="BL20" i="52"/>
  <c r="BO20" i="52" s="1"/>
  <c r="CD20" i="52" s="1"/>
  <c r="S20" i="52" s="1"/>
  <c r="BM20" i="52"/>
  <c r="BP20" i="52" s="1"/>
  <c r="CE20" i="52" s="1"/>
  <c r="T20" i="52" s="1"/>
  <c r="BK20" i="52"/>
  <c r="BN20" i="52" s="1"/>
  <c r="CC20" i="52" s="1"/>
  <c r="R20" i="52" s="1"/>
  <c r="AQ23" i="51"/>
  <c r="BI22" i="51"/>
  <c r="BJ22" i="51" s="1"/>
  <c r="BO22" i="51" s="1"/>
  <c r="BD22" i="51" s="1"/>
  <c r="BA22" i="51"/>
  <c r="AS19" i="52"/>
  <c r="BA19" i="52"/>
  <c r="BB19" i="52" s="1"/>
  <c r="BG19" i="52" s="1"/>
  <c r="AV19" i="52" s="1"/>
  <c r="AI19" i="52" s="1"/>
  <c r="BU29" i="51" l="1"/>
  <c r="BX29" i="51" s="1"/>
  <c r="CM29" i="51" s="1"/>
  <c r="S29" i="51" s="1"/>
  <c r="AT29" i="51"/>
  <c r="AV29" i="51" s="1"/>
  <c r="V29" i="51"/>
  <c r="T29" i="51"/>
  <c r="AR29" i="51" s="1"/>
  <c r="AQ24" i="51"/>
  <c r="BL21" i="52"/>
  <c r="BO21" i="52" s="1"/>
  <c r="CD21" i="52" s="1"/>
  <c r="S21" i="52" s="1"/>
  <c r="BM21" i="52"/>
  <c r="BP21" i="52" s="1"/>
  <c r="CE21" i="52" s="1"/>
  <c r="T21" i="52" s="1"/>
  <c r="BK21" i="52"/>
  <c r="BN21" i="52" s="1"/>
  <c r="CC21" i="52" s="1"/>
  <c r="R21" i="52" s="1"/>
  <c r="AN21" i="52"/>
  <c r="AL23" i="52"/>
  <c r="AM23" i="52"/>
  <c r="Y32" i="52"/>
  <c r="AU24" i="51"/>
  <c r="AT24" i="51"/>
  <c r="BK33" i="52"/>
  <c r="BN33" i="52" s="1"/>
  <c r="CC33" i="52" s="1"/>
  <c r="R33" i="52" s="1"/>
  <c r="BL33" i="52"/>
  <c r="BO33" i="52" s="1"/>
  <c r="CD33" i="52" s="1"/>
  <c r="S33" i="52" s="1"/>
  <c r="BM33" i="52"/>
  <c r="BP33" i="52" s="1"/>
  <c r="CE33" i="52" s="1"/>
  <c r="T33" i="52" s="1"/>
  <c r="AI33" i="52"/>
  <c r="AJ24" i="52"/>
  <c r="AL24" i="52"/>
  <c r="AN24" i="52" s="1"/>
  <c r="AQ28" i="51"/>
  <c r="AU28" i="51" s="1"/>
  <c r="AI25" i="52"/>
  <c r="AM25" i="52" s="1"/>
  <c r="BK25" i="52"/>
  <c r="BN25" i="52" s="1"/>
  <c r="CC25" i="52" s="1"/>
  <c r="R25" i="52" s="1"/>
  <c r="BM25" i="52"/>
  <c r="BP25" i="52" s="1"/>
  <c r="CE25" i="52" s="1"/>
  <c r="T25" i="52" s="1"/>
  <c r="BL25" i="52"/>
  <c r="BO25" i="52" s="1"/>
  <c r="CD25" i="52" s="1"/>
  <c r="S25" i="52" s="1"/>
  <c r="AQ27" i="51"/>
  <c r="BL24" i="52"/>
  <c r="BO24" i="52" s="1"/>
  <c r="CD24" i="52" s="1"/>
  <c r="S24" i="52" s="1"/>
  <c r="BM24" i="52"/>
  <c r="BP24" i="52" s="1"/>
  <c r="CE24" i="52" s="1"/>
  <c r="T24" i="52" s="1"/>
  <c r="BK24" i="52"/>
  <c r="BN24" i="52" s="1"/>
  <c r="CC24" i="52" s="1"/>
  <c r="R24" i="52" s="1"/>
  <c r="AJ23" i="52"/>
  <c r="AN23" i="52"/>
  <c r="AQ26" i="51"/>
  <c r="AU26" i="51" s="1"/>
  <c r="BU26" i="51"/>
  <c r="BX26" i="51" s="1"/>
  <c r="CM26" i="51" s="1"/>
  <c r="S26" i="51" s="1"/>
  <c r="BL23" i="52"/>
  <c r="BO23" i="52" s="1"/>
  <c r="CD23" i="52" s="1"/>
  <c r="S23" i="52" s="1"/>
  <c r="BM23" i="52"/>
  <c r="BP23" i="52" s="1"/>
  <c r="CE23" i="52" s="1"/>
  <c r="T23" i="52" s="1"/>
  <c r="BK23" i="52"/>
  <c r="BN23" i="52" s="1"/>
  <c r="CC23" i="52" s="1"/>
  <c r="R23" i="52" s="1"/>
  <c r="AQ25" i="51"/>
  <c r="BU25" i="51"/>
  <c r="BX25" i="51" s="1"/>
  <c r="CM25" i="51" s="1"/>
  <c r="S25" i="51" s="1"/>
  <c r="AI22" i="52"/>
  <c r="BL22" i="52"/>
  <c r="BO22" i="52" s="1"/>
  <c r="CD22" i="52" s="1"/>
  <c r="S22" i="52" s="1"/>
  <c r="BK22" i="52"/>
  <c r="BN22" i="52" s="1"/>
  <c r="CC22" i="52" s="1"/>
  <c r="R22" i="52" s="1"/>
  <c r="BM22" i="52"/>
  <c r="BP22" i="52" s="1"/>
  <c r="CE22" i="52" s="1"/>
  <c r="T22" i="52" s="1"/>
  <c r="T23" i="51"/>
  <c r="AV23" i="51"/>
  <c r="V23" i="51"/>
  <c r="Y20" i="52"/>
  <c r="AN20" i="52"/>
  <c r="AJ20" i="52"/>
  <c r="AJ19" i="52"/>
  <c r="AH36" i="52"/>
  <c r="AN19" i="52"/>
  <c r="BK19" i="52"/>
  <c r="BN19" i="52" s="1"/>
  <c r="CC19" i="52" s="1"/>
  <c r="R19" i="52" s="1"/>
  <c r="BL19" i="52"/>
  <c r="BO19" i="52" s="1"/>
  <c r="CD19" i="52" s="1"/>
  <c r="S19" i="52" s="1"/>
  <c r="BM19" i="52"/>
  <c r="BP19" i="52" s="1"/>
  <c r="CE19" i="52" s="1"/>
  <c r="T19" i="52" s="1"/>
  <c r="AQ22" i="51"/>
  <c r="BU22" i="51"/>
  <c r="BX22" i="51" s="1"/>
  <c r="CM22" i="51" s="1"/>
  <c r="S22" i="51" s="1"/>
  <c r="AL22" i="52" l="1"/>
  <c r="AM22" i="52"/>
  <c r="AN22" i="52" s="1"/>
  <c r="AT25" i="51"/>
  <c r="AU25" i="51"/>
  <c r="AV25" i="51" s="1"/>
  <c r="AW29" i="51"/>
  <c r="AY29" i="51" s="1"/>
  <c r="W29" i="51" s="1"/>
  <c r="AV24" i="51"/>
  <c r="AT27" i="51"/>
  <c r="AU27" i="51"/>
  <c r="Y21" i="52"/>
  <c r="AM33" i="52"/>
  <c r="AL33" i="52"/>
  <c r="Y33" i="52"/>
  <c r="AJ25" i="52"/>
  <c r="AL25" i="52"/>
  <c r="AN25" i="52" s="1"/>
  <c r="Y24" i="52"/>
  <c r="Y25" i="52"/>
  <c r="AT28" i="51"/>
  <c r="AV28" i="51" s="1"/>
  <c r="V28" i="51"/>
  <c r="T28" i="51"/>
  <c r="T27" i="51"/>
  <c r="V27" i="51"/>
  <c r="Y23" i="52"/>
  <c r="AT26" i="51"/>
  <c r="AV26" i="51" s="1"/>
  <c r="V26" i="51"/>
  <c r="T26" i="51"/>
  <c r="Y22" i="52"/>
  <c r="AJ22" i="52"/>
  <c r="T25" i="51"/>
  <c r="V25" i="51"/>
  <c r="AR23" i="51"/>
  <c r="AW23" i="51" s="1"/>
  <c r="V22" i="51"/>
  <c r="AV22" i="51"/>
  <c r="T22" i="51"/>
  <c r="Y19" i="52"/>
  <c r="AD17" i="52"/>
  <c r="B17" i="52" s="1"/>
  <c r="D17" i="52" s="1"/>
  <c r="AX29" i="51" l="1"/>
  <c r="AZ29" i="51" s="1"/>
  <c r="U29" i="51"/>
  <c r="AV27" i="51"/>
  <c r="AN33" i="52"/>
  <c r="V24" i="51"/>
  <c r="T24" i="51"/>
  <c r="S24" i="51"/>
  <c r="AR28" i="51"/>
  <c r="AW28" i="51" s="1"/>
  <c r="AR27" i="51"/>
  <c r="AR26" i="51"/>
  <c r="AW26" i="51" s="1"/>
  <c r="AR25" i="51"/>
  <c r="AW25" i="51" s="1"/>
  <c r="AX23" i="51"/>
  <c r="U23" i="51"/>
  <c r="AY23" i="51"/>
  <c r="BQ23" i="51"/>
  <c r="BS23" i="51" s="1"/>
  <c r="BV23" i="51" s="1"/>
  <c r="AR22" i="51"/>
  <c r="AW22" i="51" s="1"/>
  <c r="H17" i="52"/>
  <c r="Z17" i="52"/>
  <c r="O17" i="52"/>
  <c r="L17" i="52"/>
  <c r="G17" i="52"/>
  <c r="AE17" i="52"/>
  <c r="M17" i="52"/>
  <c r="AC17" i="52"/>
  <c r="AA17" i="52"/>
  <c r="I17" i="52"/>
  <c r="E17" i="52"/>
  <c r="AK3" i="52"/>
  <c r="CD29" i="51" l="1"/>
  <c r="BR29" i="51"/>
  <c r="BT29" i="51" s="1"/>
  <c r="BW29" i="51" s="1"/>
  <c r="BQ29" i="51"/>
  <c r="BS29" i="51" s="1"/>
  <c r="BV29" i="51" s="1"/>
  <c r="CC29" i="51"/>
  <c r="BZ29" i="51"/>
  <c r="BY29" i="51"/>
  <c r="AW27" i="51"/>
  <c r="AY27" i="51" s="1"/>
  <c r="W27" i="51" s="1"/>
  <c r="AX28" i="51"/>
  <c r="BQ28" i="51" s="1"/>
  <c r="BS28" i="51" s="1"/>
  <c r="BV28" i="51" s="1"/>
  <c r="AR24" i="51"/>
  <c r="AW24" i="51" s="1"/>
  <c r="U24" i="51" s="1"/>
  <c r="U28" i="51"/>
  <c r="AY28" i="51"/>
  <c r="AY26" i="51"/>
  <c r="U26" i="51"/>
  <c r="AX26" i="51"/>
  <c r="AY25" i="51"/>
  <c r="U25" i="51"/>
  <c r="AX25" i="51"/>
  <c r="AZ23" i="51"/>
  <c r="BR23" i="51"/>
  <c r="BT23" i="51" s="1"/>
  <c r="BW23" i="51" s="1"/>
  <c r="W23" i="51"/>
  <c r="BY23" i="51"/>
  <c r="BZ23" i="51"/>
  <c r="U22" i="51"/>
  <c r="AY22" i="51"/>
  <c r="AX22" i="51"/>
  <c r="BQ22" i="51"/>
  <c r="BS22" i="51" s="1"/>
  <c r="BV22" i="51" s="1"/>
  <c r="W17" i="52"/>
  <c r="AX17" i="52"/>
  <c r="AY17" i="52" s="1"/>
  <c r="CF17" i="52"/>
  <c r="AT17" i="52"/>
  <c r="AF17" i="52"/>
  <c r="AG17" i="52"/>
  <c r="BZ17" i="52" s="1"/>
  <c r="P17" i="52"/>
  <c r="BD17" i="52"/>
  <c r="BE17" i="52" s="1"/>
  <c r="AU17" i="52"/>
  <c r="AW17" i="52"/>
  <c r="U17" i="52"/>
  <c r="AZ17" i="52"/>
  <c r="BC17" i="52"/>
  <c r="BF17" i="52" s="1"/>
  <c r="AB17" i="52"/>
  <c r="N17" i="52"/>
  <c r="CE29" i="51" l="1"/>
  <c r="CF29" i="51" s="1"/>
  <c r="CL29" i="51" s="1"/>
  <c r="R29" i="51" s="1"/>
  <c r="CA29" i="51"/>
  <c r="CB29" i="51" s="1"/>
  <c r="CK29" i="51" s="1"/>
  <c r="Q29" i="51" s="1"/>
  <c r="AX27" i="51"/>
  <c r="BZ27" i="51" s="1"/>
  <c r="U27" i="51"/>
  <c r="W28" i="51"/>
  <c r="AZ28" i="51"/>
  <c r="BY28" i="51"/>
  <c r="BZ28" i="51"/>
  <c r="AY24" i="51"/>
  <c r="W24" i="51" s="1"/>
  <c r="AX24" i="51"/>
  <c r="BQ24" i="51" s="1"/>
  <c r="BS24" i="51" s="1"/>
  <c r="BV24" i="51" s="1"/>
  <c r="BQ27" i="51"/>
  <c r="BS27" i="51" s="1"/>
  <c r="BV27" i="51" s="1"/>
  <c r="AZ27" i="51"/>
  <c r="BQ26" i="51"/>
  <c r="BS26" i="51" s="1"/>
  <c r="BV26" i="51" s="1"/>
  <c r="BZ26" i="51"/>
  <c r="BY26" i="51"/>
  <c r="W26" i="51"/>
  <c r="AZ26" i="51"/>
  <c r="BQ25" i="51"/>
  <c r="BS25" i="51" s="1"/>
  <c r="BV25" i="51" s="1"/>
  <c r="BY25" i="51"/>
  <c r="BZ25" i="51"/>
  <c r="CA23" i="51"/>
  <c r="CB23" i="51" s="1"/>
  <c r="CK23" i="51" s="1"/>
  <c r="Q23" i="51" s="1"/>
  <c r="AZ25" i="51"/>
  <c r="W25" i="51"/>
  <c r="CC23" i="51"/>
  <c r="CD23" i="51"/>
  <c r="BY22" i="51"/>
  <c r="BZ22" i="51"/>
  <c r="AZ22" i="51"/>
  <c r="W22" i="51"/>
  <c r="BR22" i="51"/>
  <c r="BT22" i="51" s="1"/>
  <c r="BW22" i="51" s="1"/>
  <c r="AH17" i="52"/>
  <c r="BY17" i="52"/>
  <c r="CA17" i="52" s="1"/>
  <c r="CB17" i="52" s="1"/>
  <c r="X29" i="51" l="1"/>
  <c r="BY27" i="51"/>
  <c r="CA27" i="51" s="1"/>
  <c r="CB27" i="51" s="1"/>
  <c r="CK27" i="51" s="1"/>
  <c r="Q27" i="51" s="1"/>
  <c r="CA28" i="51"/>
  <c r="CB28" i="51" s="1"/>
  <c r="CK28" i="51" s="1"/>
  <c r="Q28" i="51" s="1"/>
  <c r="BR28" i="51"/>
  <c r="BT28" i="51" s="1"/>
  <c r="BW28" i="51" s="1"/>
  <c r="CD28" i="51"/>
  <c r="CC28" i="51"/>
  <c r="CA26" i="51"/>
  <c r="CB26" i="51" s="1"/>
  <c r="CK26" i="51" s="1"/>
  <c r="Q26" i="51" s="1"/>
  <c r="BZ24" i="51"/>
  <c r="BY24" i="51"/>
  <c r="AZ24" i="51"/>
  <c r="BR24" i="51" s="1"/>
  <c r="BT24" i="51" s="1"/>
  <c r="BW24" i="51" s="1"/>
  <c r="BR27" i="51"/>
  <c r="BT27" i="51" s="1"/>
  <c r="BW27" i="51" s="1"/>
  <c r="CD27" i="51"/>
  <c r="CC27" i="51"/>
  <c r="BR26" i="51"/>
  <c r="BT26" i="51" s="1"/>
  <c r="BW26" i="51" s="1"/>
  <c r="CD26" i="51"/>
  <c r="CC26" i="51"/>
  <c r="BR25" i="51"/>
  <c r="BT25" i="51" s="1"/>
  <c r="BW25" i="51" s="1"/>
  <c r="CD25" i="51"/>
  <c r="CC25" i="51"/>
  <c r="CA25" i="51"/>
  <c r="CB25" i="51" s="1"/>
  <c r="CK25" i="51" s="1"/>
  <c r="Q25" i="51" s="1"/>
  <c r="CE23" i="51"/>
  <c r="CF23" i="51" s="1"/>
  <c r="CL23" i="51" s="1"/>
  <c r="R23" i="51" s="1"/>
  <c r="CD22" i="51"/>
  <c r="CC22" i="51"/>
  <c r="CA22" i="51"/>
  <c r="CB22" i="51" s="1"/>
  <c r="CK22" i="51" s="1"/>
  <c r="Q22" i="51" s="1"/>
  <c r="CB36" i="52"/>
  <c r="Q24" i="53" s="1"/>
  <c r="CE28" i="51" l="1"/>
  <c r="CF28" i="51" s="1"/>
  <c r="CL28" i="51" s="1"/>
  <c r="R28" i="51" s="1"/>
  <c r="X28" i="51" s="1"/>
  <c r="CA24" i="51"/>
  <c r="CB24" i="51" s="1"/>
  <c r="CK24" i="51" s="1"/>
  <c r="Q24" i="51" s="1"/>
  <c r="CE27" i="51"/>
  <c r="CF27" i="51" s="1"/>
  <c r="CL27" i="51" s="1"/>
  <c r="R27" i="51" s="1"/>
  <c r="CE26" i="51"/>
  <c r="CF26" i="51" s="1"/>
  <c r="CL26" i="51" s="1"/>
  <c r="R26" i="51" s="1"/>
  <c r="CD24" i="51"/>
  <c r="CC24" i="51"/>
  <c r="CE25" i="51"/>
  <c r="CF25" i="51" s="1"/>
  <c r="CL25" i="51" s="1"/>
  <c r="R25" i="51" s="1"/>
  <c r="X23" i="51"/>
  <c r="CE22" i="51"/>
  <c r="CF22" i="51" s="1"/>
  <c r="CL22" i="51" s="1"/>
  <c r="R22" i="51" s="1"/>
  <c r="X27" i="51" l="1"/>
  <c r="CE24" i="51"/>
  <c r="CF24" i="51" s="1"/>
  <c r="CL24" i="51" s="1"/>
  <c r="R24" i="51" s="1"/>
  <c r="X25" i="51"/>
  <c r="X26" i="51"/>
  <c r="X22" i="51"/>
  <c r="X24" i="51" l="1"/>
  <c r="P30" i="50" l="1"/>
  <c r="D12" i="124" s="1"/>
  <c r="D18" i="124" s="1"/>
  <c r="P28" i="50"/>
  <c r="P29" i="50"/>
  <c r="U17" i="51"/>
  <c r="AV18" i="34"/>
  <c r="S8" i="93" l="1"/>
  <c r="Q10" i="93"/>
  <c r="Q19" i="93" s="1"/>
  <c r="S31" i="84" s="1"/>
  <c r="S19" i="93" l="1"/>
  <c r="U31" i="84" s="1"/>
  <c r="S19" i="84"/>
  <c r="J42" i="93"/>
  <c r="S10" i="93"/>
  <c r="U19" i="84" l="1"/>
  <c r="I19" i="7"/>
  <c r="J43" i="93"/>
  <c r="S11" i="93"/>
  <c r="U20" i="84" s="1"/>
  <c r="F20" i="52" l="1"/>
  <c r="O19" i="7"/>
  <c r="E23" i="51"/>
  <c r="G28" i="50"/>
  <c r="I20" i="7"/>
  <c r="L18" i="34"/>
  <c r="M18" i="7"/>
  <c r="T23" i="84"/>
  <c r="T24" i="84" s="1"/>
  <c r="T25" i="84" s="1"/>
  <c r="J44" i="93"/>
  <c r="J50" i="93"/>
  <c r="R40" i="50"/>
  <c r="W40" i="50" s="1"/>
  <c r="J49" i="93" l="1"/>
  <c r="J45" i="93"/>
  <c r="T54" i="84"/>
  <c r="J51" i="93"/>
  <c r="I22" i="51"/>
  <c r="K27" i="50"/>
  <c r="J19" i="52"/>
  <c r="J17" i="52"/>
  <c r="K22" i="50"/>
  <c r="I17" i="51"/>
  <c r="O20" i="7"/>
  <c r="F21" i="52"/>
  <c r="E24" i="51"/>
  <c r="G29" i="50"/>
  <c r="I21" i="7"/>
  <c r="W28" i="50"/>
  <c r="Q19" i="7"/>
  <c r="AF19" i="7"/>
  <c r="BS19" i="7"/>
  <c r="BW19" i="7" s="1"/>
  <c r="N18" i="34"/>
  <c r="P22" i="50"/>
  <c r="F17" i="52"/>
  <c r="I18" i="7"/>
  <c r="E17" i="51"/>
  <c r="BS20" i="7" l="1"/>
  <c r="BW20" i="7" s="1"/>
  <c r="W29" i="50"/>
  <c r="D22" i="124" s="1"/>
  <c r="AF20" i="7"/>
  <c r="Q20" i="7"/>
  <c r="P37" i="50"/>
  <c r="P38" i="50" s="1"/>
  <c r="D28" i="124"/>
  <c r="F19" i="52"/>
  <c r="O18" i="7"/>
  <c r="E22" i="51"/>
  <c r="BQ19" i="7"/>
  <c r="O21" i="7"/>
  <c r="F22" i="52"/>
  <c r="E25" i="51"/>
  <c r="G30" i="50"/>
  <c r="T55" i="84"/>
  <c r="J52" i="93" a="1"/>
  <c r="J52" i="93" s="1"/>
  <c r="D21" i="124"/>
  <c r="BP19" i="7"/>
  <c r="S19" i="7"/>
  <c r="AD18" i="34"/>
  <c r="O18" i="34"/>
  <c r="Q18" i="34"/>
  <c r="BR18" i="34" s="1"/>
  <c r="BH18" i="34"/>
  <c r="F28" i="124" l="1"/>
  <c r="W30" i="93"/>
  <c r="BJ18" i="34"/>
  <c r="BF18" i="34"/>
  <c r="Q18" i="7"/>
  <c r="BP18" i="7" s="1"/>
  <c r="BS18" i="7"/>
  <c r="AF18" i="7"/>
  <c r="BG18" i="34"/>
  <c r="AE18" i="34"/>
  <c r="AZ19" i="7"/>
  <c r="R19" i="7"/>
  <c r="AI19" i="7" s="1"/>
  <c r="AF21" i="7"/>
  <c r="W30" i="50"/>
  <c r="D23" i="124" s="1"/>
  <c r="D25" i="124" s="1"/>
  <c r="V19" i="93" s="1"/>
  <c r="Y19" i="93" s="1"/>
  <c r="Q21" i="7"/>
  <c r="BS21" i="7"/>
  <c r="BW21" i="7" s="1"/>
  <c r="BP20" i="7"/>
  <c r="S20" i="7"/>
  <c r="BQ20" i="7"/>
  <c r="J17" i="51"/>
  <c r="K17" i="52"/>
  <c r="Y30" i="93" l="1"/>
  <c r="Q31" i="93" s="1"/>
  <c r="S31" i="93" s="1"/>
  <c r="S35" i="84"/>
  <c r="R31" i="84"/>
  <c r="S34" i="84" s="1"/>
  <c r="S36" i="84" s="1"/>
  <c r="Q20" i="93"/>
  <c r="Q22" i="93" s="1"/>
  <c r="Q30" i="93" s="1"/>
  <c r="V19" i="7"/>
  <c r="T19" i="7"/>
  <c r="AS17" i="52"/>
  <c r="BA17" i="52"/>
  <c r="BB17" i="52" s="1"/>
  <c r="BG17" i="52" s="1"/>
  <c r="AV17" i="52" s="1"/>
  <c r="AI17" i="52" s="1"/>
  <c r="AN17" i="52" s="1"/>
  <c r="AO17" i="52" s="1"/>
  <c r="BQ21" i="7"/>
  <c r="BQ18" i="7"/>
  <c r="AG18" i="7"/>
  <c r="AG19" i="7" s="1"/>
  <c r="AG20" i="7" s="1"/>
  <c r="AG21" i="7" s="1"/>
  <c r="S18" i="7"/>
  <c r="BW18" i="7"/>
  <c r="BP21" i="7"/>
  <c r="S21" i="7"/>
  <c r="D27" i="124"/>
  <c r="D29" i="124" s="1"/>
  <c r="D31" i="124" s="1"/>
  <c r="AZ20" i="7"/>
  <c r="R20" i="7"/>
  <c r="AI20" i="7" s="1"/>
  <c r="BI17" i="51"/>
  <c r="BJ17" i="51" s="1"/>
  <c r="BO17" i="51" s="1"/>
  <c r="BD17" i="51" s="1"/>
  <c r="AQ17" i="51" s="1"/>
  <c r="AV17" i="51" s="1"/>
  <c r="AW17" i="51" s="1"/>
  <c r="BA17" i="51"/>
  <c r="W37" i="50"/>
  <c r="W38" i="50" s="1"/>
  <c r="R41" i="50" s="1"/>
  <c r="R42" i="50" s="1"/>
  <c r="Q33" i="93" l="1"/>
  <c r="S33" i="93" s="1"/>
  <c r="T46" i="84" s="1"/>
  <c r="T47" i="84" s="1"/>
  <c r="F31" i="124"/>
  <c r="S20" i="93"/>
  <c r="S22" i="93"/>
  <c r="S30" i="93" s="1"/>
  <c r="AG25" i="7"/>
  <c r="AG26" i="7" s="1"/>
  <c r="AG22" i="7"/>
  <c r="AP17" i="52"/>
  <c r="V17" i="52"/>
  <c r="AQ17" i="52"/>
  <c r="AR17" i="52" s="1"/>
  <c r="AY17" i="51"/>
  <c r="AZ17" i="51" s="1"/>
  <c r="AX17" i="51"/>
  <c r="AZ18" i="7"/>
  <c r="R18" i="7"/>
  <c r="AI18" i="7" s="1"/>
  <c r="BM17" i="52"/>
  <c r="BP17" i="52" s="1"/>
  <c r="V20" i="7"/>
  <c r="T20" i="7"/>
  <c r="BU17" i="51"/>
  <c r="BX17" i="51" s="1"/>
  <c r="F14" i="46"/>
  <c r="P29" i="29"/>
  <c r="AZ21" i="7"/>
  <c r="R21" i="7"/>
  <c r="AI21" i="7" s="1"/>
  <c r="S34" i="93" l="1"/>
  <c r="U36" i="84"/>
  <c r="T40" i="84" s="1"/>
  <c r="T41" i="84" s="1"/>
  <c r="T42" i="84" s="1"/>
  <c r="S23" i="93"/>
  <c r="U37" i="84" s="1"/>
  <c r="BP36" i="52"/>
  <c r="Y24" i="53" s="1"/>
  <c r="CE17" i="52"/>
  <c r="F15" i="46"/>
  <c r="P30" i="29"/>
  <c r="V18" i="7"/>
  <c r="P28" i="29" s="1"/>
  <c r="T18" i="7"/>
  <c r="BQ17" i="51"/>
  <c r="BS17" i="51" s="1"/>
  <c r="BV17" i="51" s="1"/>
  <c r="BV32" i="51" s="1"/>
  <c r="BY17" i="51"/>
  <c r="BZ17" i="51"/>
  <c r="CM17" i="51"/>
  <c r="CM32" i="51" s="1"/>
  <c r="BX32" i="51"/>
  <c r="Y25" i="53" s="1"/>
  <c r="BR17" i="51"/>
  <c r="BT17" i="51" s="1"/>
  <c r="BW17" i="51" s="1"/>
  <c r="BW32" i="51" s="1"/>
  <c r="CC17" i="51"/>
  <c r="CD17" i="51"/>
  <c r="BV17" i="52"/>
  <c r="BJ17" i="52"/>
  <c r="BL17" i="52" s="1"/>
  <c r="BO17" i="52" s="1"/>
  <c r="BO36" i="52" s="1"/>
  <c r="BU17" i="52"/>
  <c r="T21" i="7"/>
  <c r="V21" i="7"/>
  <c r="BQ17" i="52"/>
  <c r="BR17" i="52"/>
  <c r="BI17" i="52"/>
  <c r="BK17" i="52" s="1"/>
  <c r="BN17" i="52" s="1"/>
  <c r="BN36" i="52" s="1"/>
  <c r="AG24" i="7"/>
  <c r="AG23" i="7"/>
  <c r="CE17" i="51" l="1"/>
  <c r="CF17" i="51" s="1"/>
  <c r="CL17" i="51" s="1"/>
  <c r="CL32" i="51" s="1"/>
  <c r="BS17" i="52"/>
  <c r="BT17" i="52" s="1"/>
  <c r="BT36" i="52" s="1"/>
  <c r="AC25" i="53"/>
  <c r="CA17" i="51"/>
  <c r="CB17" i="51" s="1"/>
  <c r="F16" i="46"/>
  <c r="P31" i="29"/>
  <c r="CE36" i="52"/>
  <c r="T17" i="52"/>
  <c r="BW17" i="52"/>
  <c r="BX17" i="52" s="1"/>
  <c r="CC17" i="52" l="1"/>
  <c r="CF32" i="51"/>
  <c r="T36" i="52"/>
  <c r="J24" i="53" s="1"/>
  <c r="CK17" i="51"/>
  <c r="CK32" i="51" s="1"/>
  <c r="CB32" i="51"/>
  <c r="CD17" i="52"/>
  <c r="BX36" i="52"/>
  <c r="CC36" i="52"/>
  <c r="R17" i="52"/>
  <c r="R36" i="52" l="1"/>
  <c r="CD36" i="52"/>
  <c r="S17" i="52"/>
  <c r="Y17" i="52" s="1"/>
  <c r="N24" i="53"/>
  <c r="U24" i="53"/>
  <c r="AC24" i="53"/>
  <c r="S36" i="52" l="1"/>
  <c r="J22" i="53" s="1"/>
  <c r="AF22" i="53" l="1"/>
  <c r="Y22" i="53" s="1"/>
  <c r="N22" i="53"/>
  <c r="Q22" i="53" l="1"/>
  <c r="AC22" i="53"/>
  <c r="U22"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tc={7A36C639-5129-42FF-BA11-9D6681B4B695}</author>
    <author>tc={3A9A995B-BAF9-4DD8-8408-1084A698B0D2}</author>
    <author>tc={874D5717-9C7B-4BC5-95B6-23D24C70B688}</author>
    <author>tc={18995496-2406-4142-BDC9-645455FE1B5C}</author>
  </authors>
  <commentList>
    <comment ref="A92" authorId="0" shapeId="0" xr:uid="{7A36C639-5129-42FF-BA11-9D6681B4B695}">
      <text>
        <t>[Comentario encadenado]
Su versión de Excel le permite leer este comentario encadenado; sin embargo, las ediciones que se apliquen se quitarán si el archivo se abre en una versión más reciente de Excel. Más información: https://go.microsoft.com/fwlink/?linkid=870924
Comentario:
    SE DEBE DEJAR EN EL CUADRO LO QUE APLIQUE PARA LA INGENIERÍA.</t>
      </text>
    </comment>
    <comment ref="A187" authorId="1" shapeId="0" xr:uid="{3A9A995B-BAF9-4DD8-8408-1084A698B0D2}">
      <text>
        <t>[Comentario encadenado]
Su versión de Excel le permite leer este comentario encadenado; sin embargo, las ediciones que se apliquen se quitarán si el archivo se abre en una versión más reciente de Excel. Más información: https://go.microsoft.com/fwlink/?linkid=870924
Comentario:
    ESTE CRÍTERIO DEPENDERA DE LA INGENERÍA A DESARROLLAR</t>
      </text>
    </comment>
    <comment ref="A189" authorId="2" shapeId="0" xr:uid="{874D5717-9C7B-4BC5-95B6-23D24C70B688}">
      <text>
        <t>[Comentario encadenado]
Su versión de Excel le permite leer este comentario encadenado; sin embargo, las ediciones que se apliquen se quitarán si el archivo se abre en una versión más reciente de Excel. Más información: https://go.microsoft.com/fwlink/?linkid=870924
Comentario:
    ESTE CRÍTERIO DEPENDERA DE LA INGENERÍA A DESARROLLAR</t>
      </text>
    </comment>
    <comment ref="M200" authorId="3" shapeId="0" xr:uid="{18995496-2406-4142-BDC9-645455FE1B5C}">
      <text>
        <t>[Comentario encadenado]
Su versión de Excel le permite leer este comentario encadenado; sin embargo, las ediciones que se apliquen se quitarán si el archivo se abre en una versión más reciente de Excel. Más información: https://go.microsoft.com/fwlink/?linkid=870924
Comentario:
    ESTE VALOR ESTA DEFINIDO POR LOS CRITERIOS DEL DISEÑADOR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Nelida Vanegas Merchan</author>
  </authors>
  <commentList>
    <comment ref="AC6" authorId="0" shapeId="0" xr:uid="{2CA044FB-876E-4661-A438-65216E8E796B}">
      <text>
        <r>
          <rPr>
            <b/>
            <sz val="9"/>
            <color indexed="81"/>
            <rFont val="Tahoma"/>
            <family val="2"/>
          </rPr>
          <t>Nelida Vanegas Merchan:</t>
        </r>
        <r>
          <rPr>
            <sz val="9"/>
            <color indexed="81"/>
            <rFont val="Tahoma"/>
            <family val="2"/>
          </rPr>
          <t xml:space="preserve">
La numeración esta configurada automática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tc={FBE1F4FA-55E6-446F-B955-20227E73542F}</author>
    <author>tc={B655196A-6911-4094-85F6-C8772EBD6706}</author>
  </authors>
  <commentList>
    <comment ref="AV16" authorId="0" shapeId="0" xr:uid="{FBE1F4FA-55E6-446F-B955-20227E73542F}">
      <text>
        <t>[Comentario encadenado]
Su versión de Excel le permite leer este comentario encadenado; sin embargo, las ediciones que se apliquen se quitarán si el archivo se abre en una versión más reciente de Excel. Más información: https://go.microsoft.com/fwlink/?linkid=870924
Comentario:
    SE TOMA 100 COMO VALOR INDICATIVO, DEBIDO A QUE LOS CABLES ARMADOS Y CABLES AÉREOS NO SE REALIZA LA VERIFICACIÓN DE CORRIENTE</t>
      </text>
    </comment>
    <comment ref="AX16" authorId="1" shapeId="0" xr:uid="{B655196A-6911-4094-85F6-C8772EBD6706}">
      <text>
        <t>[Comentario encadenado]
Su versión de Excel le permite leer este comentario encadenado; sin embargo, las ediciones que se apliquen se quitarán si el archivo se abre en una versión más reciente de Excel. Más información: https://go.microsoft.com/fwlink/?linkid=870924
Comentario:
    EL CONDUCTOR DE TIERRA SE CÁLCULA AUTOMATICO SI ESTA CASILLA ESTÁ EN LA OPCIÓN "No"</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tc={D44C518A-E50E-48EF-948E-124FBC04C7E2}</author>
    <author>tc={EEDE1ECB-E213-48D1-AE6E-C82F94537FDC}</author>
    <author>tc={43A1931B-2FC5-4B51-BB96-7F97E0F4E569}</author>
    <author>Soath Soto Mena</author>
    <author>tc={99E37CC5-E72D-42F3-983C-A16D1852E91E}</author>
    <author>tc={8FFCE056-D41A-477C-993F-63EEA3D2BACD}</author>
    <author>tc={C74C3647-8CAC-430F-89A5-985D502B157F}</author>
    <author>tc={DDEF387B-E2FA-44E5-B11D-B8D98906A756}</author>
    <author>tc={0C3A92D5-9593-45E9-B1A1-3047D1C12C92}</author>
    <author>tc={5DC387E5-CA8A-4087-9A32-50B8864FEF9A}</author>
    <author>tc={DC0480BA-D4A8-4F67-9C0D-CDBB741FA821}</author>
    <author>tc={A49B814E-283C-4D72-808B-69DA46AB7108}</author>
  </authors>
  <commentList>
    <comment ref="O9" authorId="0" shapeId="0" xr:uid="{D44C518A-E50E-48EF-948E-124FBC04C7E2}">
      <text>
        <t>[Comentario encadenado]
Su versión de Excel le permite leer este comentario encadenado; sin embargo, las ediciones que se apliquen se quitarán si el archivo se abre en una versión más reciente de Excel. Más información: https://go.microsoft.com/fwlink/?linkid=870924
Comentario:
    SE DEBE TENER EN CUENTA EL PORCENTAJE DE ARMÓNICOS THDi MENCIONADO EN LA COLUMNA "AT", DONDE SU VARIACIÓN DEPENDE LA CORRIENTE NOMINAL CALCULADA.</t>
      </text>
    </comment>
    <comment ref="AX9" authorId="1" shapeId="0" xr:uid="{EEDE1ECB-E213-48D1-AE6E-C82F94537FDC}">
      <text>
        <t>[Comentario encadenado]
Su versión de Excel le permite leer este comentario encadenado; sin embargo, las ediciones que se apliquen se quitarán si el archivo se abre en una versión más reciente de Excel. Más información: https://go.microsoft.com/fwlink/?linkid=870924
Comentario:
    AL CAMBIAR EL PORCENTAJE DE ARMÓNICOS THDi, SE VERA AFECTADA TAMBIÉN LA CORRIENTE NOMINAL, TENER EN CUENTA EN EL CÁLCULO DEL CONDUCTOR.</t>
      </text>
    </comment>
    <comment ref="AZ9" authorId="2" shapeId="0" xr:uid="{43A1931B-2FC5-4B51-BB96-7F97E0F4E569}">
      <text>
        <t>[Comentario encadenado]
Su versión de Excel le permite leer este comentario encadenado; sin embargo, las ediciones que se apliquen se quitarán si el archivo se abre en una versión más reciente de Excel. Más información: https://go.microsoft.com/fwlink/?linkid=870924
Comentario:
    EL VALOR CÁLCULADO DEBE SER MAYOR A 10, PARA GARANTIZAR ASI LA ECUACIÓN DESCRITA</t>
      </text>
    </comment>
    <comment ref="BA9" authorId="3" shapeId="0" xr:uid="{76C06423-24F4-4E05-9807-9065C3B6F1E6}">
      <text>
        <r>
          <rPr>
            <b/>
            <sz val="9"/>
            <color indexed="81"/>
            <rFont val="Tahoma"/>
            <family val="2"/>
          </rPr>
          <t>Soath Soto Name:
No modificar, dejar siempre en 1</t>
        </r>
        <r>
          <rPr>
            <sz val="9"/>
            <color indexed="81"/>
            <rFont val="Tahoma"/>
            <family val="2"/>
          </rPr>
          <t xml:space="preserve">
</t>
        </r>
      </text>
    </comment>
    <comment ref="T10" authorId="4" shapeId="0" xr:uid="{99E37CC5-E72D-42F3-983C-A16D1852E91E}">
      <text>
        <t>[Comentario encadenado]
Su versión de Excel le permite leer este comentario encadenado; sin embargo, las ediciones que se apliquen se quitarán si el archivo se abre en una versión más reciente de Excel. Más información: https://go.microsoft.com/fwlink/?linkid=870924
Comentario:
    Esta casilla verifica que la corriente de corto sea &gt;10 veces la corriente nominal para garantiza que en falla entre en la zona de disparo instantanea</t>
      </text>
    </comment>
    <comment ref="R12" authorId="5" shapeId="0" xr:uid="{8FFCE056-D41A-477C-993F-63EEA3D2BACD}">
      <text>
        <t>[Comentario encadenado]
Su versión de Excel le permite leer este comentario encadenado; sin embargo, las ediciones que se apliquen se quitarán si el archivo se abre en una versión más reciente de Excel. Más información: https://go.microsoft.com/fwlink/?linkid=870924
Comentario:
    VERIFICAR COLUMNA "AS" DEL EXCEL PARA TENER EN CUENTA EL TIPO DE CARGA PARA AUSTE DE LA PROTECCIÓN</t>
      </text>
    </comment>
    <comment ref="AK15" authorId="6" shapeId="0" xr:uid="{C74C3647-8CAC-430F-89A5-985D502B157F}">
      <text>
        <t>[Comentario encadenado]
Su versión de Excel le permite leer este comentario encadenado; sin embargo, las ediciones que se apliquen se quitarán si el archivo se abre en una versión más reciente de Excel. Más información: https://go.microsoft.com/fwlink/?linkid=870924
Comentario:
    LA CORRIENTE CALCULADA EN ESTA COLUMNA DEPENDE DEL TIEMPO DE DESPEJE DE LA FALLA, DICHO VALOR SE CAMBIA EN LA CASILLA DE LA COLUMNA "T"</t>
      </text>
    </comment>
    <comment ref="AL15" authorId="7" shapeId="0" xr:uid="{DDEF387B-E2FA-44E5-B11D-B8D98906A756}">
      <text>
        <t>[Comentario encadenado]
Su versión de Excel le permite leer este comentario encadenado; sin embargo, las ediciones que se apliquen se quitarán si el archivo se abre en una versión más reciente de Excel. Más información: https://go.microsoft.com/fwlink/?linkid=870924
Comentario:
    EN ESTA COLUMNA SE DEBE INGRESAR EL VALOR DE CORRIENTE DE CORTO CIRCUITO DE LA BARRA QUE SE ENCUENTRA CONECTADO EL CONDUCTOR ESCOGIDO</t>
      </text>
    </comment>
    <comment ref="AO15" authorId="8" shapeId="0" xr:uid="{0C3A92D5-9593-45E9-B1A1-3047D1C12C92}">
      <text>
        <t>[Comentario encadenado]
Su versión de Excel le permite leer este comentario encadenado; sin embargo, las ediciones que se apliquen se quitarán si el archivo se abre en una versión más reciente de Excel. Más información: https://go.microsoft.com/fwlink/?linkid=870924
Comentario:
    SI APARECE EN ROJO SE DEBE VERIFICAR QUE LA CASILLA DE LA COLUMNA "AX" SE ENCUENTRE EN "NO" Y LA CASILLA DE LA COLUMNA "AV" NO CONTENGA LA PALABRA "Motor Alimentado de VFD"
SI EL CABLE ES UN CABLE VFD, SE DEBE CAMBIAR DE MONOPOLAR A MULTICONDUCTOR
SI EL CABLE ES AÉREO DEBE ESTAR EN MONOPOLAR, Y MATERIAL ALUMINIO</t>
      </text>
    </comment>
    <comment ref="AW15" authorId="9" shapeId="0" xr:uid="{5DC387E5-CA8A-4087-9A32-50B8864FEF9A}">
      <text>
        <t>[Comentario encadenado]
Su versión de Excel le permite leer este comentario encadenado; sin embargo, las ediciones que se apliquen se quitarán si el archivo se abre en una versión más reciente de Excel. Más información: https://go.microsoft.com/fwlink/?linkid=870924
Comentario:
    SI APAREC EN ROJO Y EL CABLE ES MONOPOLAR, SE DEBE CAMBIAR DE "Motor Alimentado de VFD" A OTRO TIPO DE CARGA</t>
      </text>
    </comment>
    <comment ref="AZ15" authorId="10" shapeId="0" xr:uid="{DC0480BA-D4A8-4F67-9C0D-CDBB741FA821}">
      <text>
        <t>[Comentario encadenado]
Su versión de Excel le permite leer este comentario encadenado; sin embargo, las ediciones que se apliquen se quitarán si el archivo se abre en una versión más reciente de Excel. Más información: https://go.microsoft.com/fwlink/?linkid=870924
Comentario:
    SI APARECE EN ROJO, SE DEBE CAMBIAR LA TIERRA YA DETERMINADA POR EL PROGRAMA, ESTO DESDE LA CASILLA "AX"</t>
      </text>
    </comment>
    <comment ref="BA15" authorId="11" shapeId="0" xr:uid="{A49B814E-283C-4D72-808B-69DA46AB7108}">
      <text>
        <t>[Comentario encadenado]
Su versión de Excel le permite leer este comentario encadenado; sin embargo, las ediciones que se apliquen se quitarán si el archivo se abre en una versión más reciente de Excel. Más información: https://go.microsoft.com/fwlink/?linkid=870924
Comentario:
    SI APARECE EN ROJO  Y EL TIPO DE CABLE ES VFD, SE DEBE COLOCAR LA CASILLA EN "NO"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tc={F9A1CE87-5302-47DB-BA03-C4045B3C2BA5}</author>
  </authors>
  <commentList>
    <comment ref="AU4" authorId="0" shapeId="0" xr:uid="{F9A1CE87-5302-47DB-BA03-C4045B3C2BA5}">
      <text>
        <t>[Comentario encadenado]
Su versión de Excel le permite leer este comentario encadenado; sin embargo, las ediciones que se apliquen se quitarán si el archivo se abre en una versión más reciente de Excel. Más información: https://go.microsoft.com/fwlink/?linkid=870924
Comentario:
    tarifa de referencia enel, industrial monomia con contribución nivel 4, octubre 2023</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<sst xmlns="http://schemas.openxmlformats.org/spreadsheetml/2006/main" count="4987" uniqueCount="2085">
  <si>
    <t>ÍTEM</t>
  </si>
  <si>
    <t>DESCRIPCIÓN</t>
  </si>
  <si>
    <t>Código:</t>
  </si>
  <si>
    <t>Versión:</t>
  </si>
  <si>
    <t>Fecha:</t>
  </si>
  <si>
    <t>Página:</t>
  </si>
  <si>
    <t>1. OBJETIVO</t>
  </si>
  <si>
    <t>Presentar el cálculo de los conductores eléctricos de potencia en media y baja tensión y el dimensionamiento de las canalizaciones eléctricas en XXXXXXXXXXXXXXXXX, dentro del marco del proyecto "XXXXXXXXXXXXXXX".</t>
  </si>
  <si>
    <t>Nota: La idea es que el nombre del proyecto se deje en las comillas para que lo tome las demás "Teorías" cuando se exporte perdidas o el listado de cables</t>
  </si>
  <si>
    <t>2. ALCANCE</t>
  </si>
  <si>
    <t xml:space="preserve">• Determinar los conductores eléctricos de potencia con base en la capacidad de conducción de corriente y caída de tensión. </t>
  </si>
  <si>
    <t>• Aplicar los factores de corrección por temperatura de operación por agrupación de conductores en conduits y tipo de canalización.</t>
  </si>
  <si>
    <t>• Especificar las canalizaciones eléctricas de acuerdo con los factores máximos de ocupación.</t>
  </si>
  <si>
    <t>• Determinar las pérdidas eléctricas de los equipos como sus conductores alimentadores, además de la selección del conductor a través del cálculo económico de los conductores.</t>
  </si>
  <si>
    <t>3. DOCUMENTOS DE REFERENCIA</t>
  </si>
  <si>
    <t>3.1 NORMAS</t>
  </si>
  <si>
    <t>• INSTITUTO COLOMBIANO DE NORMAS TÉCNICAS COLOMBIANAS Y CERTIFICACIÓN, NTC 2050. Código Eléctrico Colombiano. 1998.</t>
  </si>
  <si>
    <t>• NATIONAL FIRE PROTECTION ASSOCIATION, NFPA. 70. National Electrical Code. 2020.</t>
  </si>
  <si>
    <t>• REGLAMENTO TÉCNICO DE INSTALACIONES ELÉCTRICAS. 2013</t>
  </si>
  <si>
    <t>Las normas y códigos utilizados serán de la edición más reciente aprobada y vigente. En caso de existir diferencias entre esta especificación y los códigos, estándares u otras especificaciones, prevalecerán los requisitos más exigentes a favor de Ecopetrol.</t>
  </si>
  <si>
    <t>3.2 DOCUMENTOS DE REFERENCIA DEL PROYECTO</t>
  </si>
  <si>
    <t>Ejemplo:</t>
  </si>
  <si>
    <t>Nota: Se debe realizar el cambio de los documentos de referencia del proyecto de acuerdo a las necesidades</t>
  </si>
  <si>
    <t>• ECP-UOR-19009-GOR-ID01-0-ELE-LI-047. Listado de cables - XXXXX.</t>
  </si>
  <si>
    <t>3.3 DOCUMENTOS DE REFERENCIA DE ECOPETROL</t>
  </si>
  <si>
    <t>Nota: Se debe realizar el cambio de los documentos de referencia de ECOPETROL de acuerdo a las necesidades</t>
  </si>
  <si>
    <t>• EDP-ET-303. Especificación técnica de construcción, suministro e instalación de bandejas portacables. V1. 2017.</t>
  </si>
  <si>
    <t xml:space="preserve">4. GLOSARIO Y/O DEFINICIONES </t>
  </si>
  <si>
    <t>De acuerdo con el siguiente glosario, se debe tener en cuenta cuales aplican para el presente proyecto:</t>
  </si>
  <si>
    <r>
      <rPr>
        <b/>
        <sz val="11"/>
        <rFont val="Arial"/>
        <family val="2"/>
      </rPr>
      <t xml:space="preserve">• Acometida eléctrica. </t>
    </r>
    <r>
      <rPr>
        <sz val="11"/>
        <rFont val="Arial"/>
        <family val="2"/>
      </rPr>
      <t>Se entiende por acometida, la parte de la instalación eléctrica que se construye desde las redes de distribución, hasta las instalaciones del usuario, y estará conformada por los siguientes componentes: punto de alimentación, conductores, ductos, tablero general de acometidas, interruptor general, armario de medidores o caja para equipo de medición</t>
    </r>
  </si>
  <si>
    <r>
      <rPr>
        <b/>
        <sz val="11"/>
        <rFont val="Arial"/>
        <family val="2"/>
      </rPr>
      <t>• Bandeja porta-cables</t>
    </r>
    <r>
      <rPr>
        <sz val="11"/>
        <rFont val="Arial"/>
        <family val="2"/>
      </rPr>
      <t>. Unidad o conjunto de unidades con sus accesorios, que forman una estructura rígida utilizada para soportar cables y canalizaciones. No es considerada una canalización.</t>
    </r>
  </si>
  <si>
    <r>
      <rPr>
        <b/>
        <sz val="11"/>
        <rFont val="Arial"/>
        <family val="2"/>
      </rPr>
      <t>• Baja tensión (BT)</t>
    </r>
    <r>
      <rPr>
        <sz val="11"/>
        <rFont val="Arial"/>
        <family val="2"/>
      </rPr>
      <t>. Tensiones mayores o iguales a 25 V y menores o iguales a 1000 voltios.</t>
    </r>
  </si>
  <si>
    <r>
      <rPr>
        <b/>
        <sz val="11"/>
        <rFont val="Arial"/>
        <family val="2"/>
      </rPr>
      <t>• Cable</t>
    </r>
    <r>
      <rPr>
        <sz val="11"/>
        <rFont val="Arial"/>
        <family val="2"/>
      </rPr>
      <t>. Conjunto de alambres sin aislamiento entre sí y entorchado por medio de capas concéntricas.</t>
    </r>
  </si>
  <si>
    <r>
      <rPr>
        <b/>
        <sz val="11"/>
        <rFont val="Arial"/>
        <family val="2"/>
      </rPr>
      <t>• Canalización</t>
    </r>
    <r>
      <rPr>
        <sz val="11"/>
        <rFont val="Arial"/>
        <family val="2"/>
      </rPr>
      <t>. Canal cerrado de materiales metálicos o no metálicos, expresamente diseñado para contener alambres, cables o barras. Hay canalizaciones, entre otras, de conductos de metal rígido, de conductos rígidos no metálicos, de conductos metálicos intermedios, de conductos flexibles e impermeables, de tuberías metálicas flexibles, de conductos metálicos flexibles, de tuberías eléctricas no metálicas, de tuberías eléctricas metálicas, subterráneas, de hormigón en el suelo, de metal en el suelo, superficiales, de cables y de barras.</t>
    </r>
  </si>
  <si>
    <r>
      <rPr>
        <b/>
        <sz val="11"/>
        <rFont val="Arial"/>
        <family val="2"/>
      </rPr>
      <t>• Carga</t>
    </r>
    <r>
      <rPr>
        <sz val="11"/>
        <rFont val="Arial"/>
        <family val="2"/>
      </rPr>
      <t>. La potencia eléctrica requerida para el funcionamiento de uno o varios equipos eléctricos o la potencia que transporta un circuito.</t>
    </r>
  </si>
  <si>
    <r>
      <rPr>
        <b/>
        <sz val="11"/>
        <rFont val="Arial"/>
        <family val="2"/>
      </rPr>
      <t>• Conduit  policloruro de vinilo (PVC)</t>
    </r>
    <r>
      <rPr>
        <sz val="11"/>
        <rFont val="Arial"/>
        <family val="2"/>
      </rPr>
      <t>. Tubo conduit en PVC para protección de cables eléctricos.</t>
    </r>
  </si>
  <si>
    <r>
      <rPr>
        <b/>
        <sz val="11"/>
        <rFont val="Arial"/>
        <family val="2"/>
      </rPr>
      <t>• Cortocircuito</t>
    </r>
    <r>
      <rPr>
        <sz val="11"/>
        <rFont val="Arial"/>
        <family val="2"/>
      </rPr>
      <t>. Unión de muy baja resistencia entre dos o más puntos de diferente potencial del mismo circuito.</t>
    </r>
  </si>
  <si>
    <r>
      <rPr>
        <b/>
        <sz val="11"/>
        <rFont val="Arial"/>
        <family val="2"/>
      </rPr>
      <t>• EPR, Ethylene Propylene Rubber</t>
    </r>
    <r>
      <rPr>
        <sz val="11"/>
        <rFont val="Arial"/>
        <family val="2"/>
      </rPr>
      <t>. Aislamiento de etileno propileno y que se utiliza para aislamientos de cables de media tensión.</t>
    </r>
  </si>
  <si>
    <r>
      <rPr>
        <b/>
        <sz val="11"/>
        <rFont val="Arial"/>
        <family val="2"/>
      </rPr>
      <t>• Eficiencia</t>
    </r>
    <r>
      <rPr>
        <sz val="11"/>
        <rFont val="Arial"/>
        <family val="2"/>
      </rPr>
      <t>. Relación entre la energía otorgada por  un equipo y la energía que debe suministrar el equipo en condiciones ideales.</t>
    </r>
  </si>
  <si>
    <r>
      <rPr>
        <b/>
        <sz val="11"/>
        <rFont val="Arial"/>
        <family val="2"/>
      </rPr>
      <t>• Intermediate Metal Conduit (IMC)</t>
    </r>
    <r>
      <rPr>
        <sz val="11"/>
        <rFont val="Arial"/>
        <family val="2"/>
      </rPr>
      <t>. Tubo conduit galvanizado de acero tipo intermedio para protección de cables eléctricos.</t>
    </r>
  </si>
  <si>
    <r>
      <rPr>
        <b/>
        <sz val="11"/>
        <rFont val="Arial"/>
        <family val="2"/>
      </rPr>
      <t>• Media tensión (MT)</t>
    </r>
    <r>
      <rPr>
        <sz val="11"/>
        <rFont val="Arial"/>
        <family val="2"/>
      </rPr>
      <t>. Tensiones mayores a 1000 voltios y menores a 57500 voltios.</t>
    </r>
  </si>
  <si>
    <r>
      <rPr>
        <b/>
        <sz val="11"/>
        <rFont val="Arial"/>
        <family val="2"/>
      </rPr>
      <t>• Impedancia</t>
    </r>
    <r>
      <rPr>
        <sz val="11"/>
        <rFont val="Arial"/>
        <family val="2"/>
      </rPr>
      <t>. Oposición total que presenta un circuito al paso de la corriente alterna o cualquier otra corriente variable en una frecuencia determinada. Es una combinación de la resistencia (R) y la reactancia (X) del circuito, medida en ohmios.</t>
    </r>
  </si>
  <si>
    <r>
      <rPr>
        <b/>
        <sz val="11"/>
        <rFont val="Arial"/>
        <family val="2"/>
      </rPr>
      <t>• Pérdida de energía</t>
    </r>
    <r>
      <rPr>
        <sz val="11"/>
        <rFont val="Arial"/>
        <family val="2"/>
      </rPr>
      <t>. Valor en kilovatios hora (kWh) que presenta un equipo o cable como consecuencia de la energización de sus componentes.</t>
    </r>
  </si>
  <si>
    <r>
      <rPr>
        <b/>
        <sz val="11"/>
        <rFont val="Arial"/>
        <family val="2"/>
      </rPr>
      <t>• Potencia activa</t>
    </r>
    <r>
      <rPr>
        <sz val="11"/>
        <rFont val="Arial"/>
        <family val="2"/>
      </rPr>
      <t>. Potencia real consumida por los equipos y cables.</t>
    </r>
  </si>
  <si>
    <r>
      <rPr>
        <b/>
        <sz val="11"/>
        <rFont val="Arial"/>
        <family val="2"/>
      </rPr>
      <t>• Radio de curvatura</t>
    </r>
    <r>
      <rPr>
        <sz val="11"/>
        <rFont val="Arial"/>
        <family val="2"/>
      </rPr>
      <t xml:space="preserve">. Mínimo radio de la curva de un cable o de una canalización asociada con el mencionado cable, garantizando que las propiedades eléctricas y mecánicas de sus componentes no se alteren sin producir daños en el cable. </t>
    </r>
  </si>
  <si>
    <r>
      <rPr>
        <b/>
        <sz val="11"/>
        <rFont val="Arial"/>
        <family val="2"/>
      </rPr>
      <t>• Resistencia Eléctrica</t>
    </r>
    <r>
      <rPr>
        <sz val="11"/>
        <rFont val="Arial"/>
        <family val="2"/>
      </rPr>
      <t>. Oposición que presenta un conductor al paso de corriente eléctrica.</t>
    </r>
  </si>
  <si>
    <r>
      <rPr>
        <b/>
        <sz val="11"/>
        <rFont val="Arial"/>
        <family val="2"/>
      </rPr>
      <t>• Rigid Metal Conduit (RMC)</t>
    </r>
    <r>
      <rPr>
        <sz val="11"/>
        <rFont val="Arial"/>
        <family val="2"/>
      </rPr>
      <t>. Tubo conduit galvanizado de acero tipo rígido para protección de cables eléctricos.</t>
    </r>
  </si>
  <si>
    <r>
      <rPr>
        <b/>
        <sz val="11"/>
        <rFont val="Arial"/>
        <family val="2"/>
      </rPr>
      <t>• XHHW-2</t>
    </r>
    <r>
      <rPr>
        <sz val="11"/>
        <rFont val="Arial"/>
        <family val="2"/>
      </rPr>
      <t>. Tipo de asilamiento para cables eléctricos en XLPE, retardante de llama, resistente a la humedad, el calor y la abrasión.</t>
    </r>
  </si>
  <si>
    <t>5. ANÁLISIS DEL NIVEL DE TENSIÓN REQUERIDO</t>
  </si>
  <si>
    <t>Para el proyecto se utilizarán las siguientes tensiones:</t>
  </si>
  <si>
    <t>Tabla 2. Tensiones mínimas requeridas</t>
  </si>
  <si>
    <t>NIVEL DE TENSIÓN</t>
  </si>
  <si>
    <t>Redes de transmisión</t>
  </si>
  <si>
    <t>115 kV, 230 kV, 500 kV, 3F + T</t>
  </si>
  <si>
    <t>Distribución primaria</t>
  </si>
  <si>
    <t>34.5 kV, 13.8 kV, 3F + 1T</t>
  </si>
  <si>
    <t>Nota: Dejar los que se requieran para el proyecto en curso</t>
  </si>
  <si>
    <t>Tableros principales de distribución</t>
  </si>
  <si>
    <t>480 V, 3F + 1T</t>
  </si>
  <si>
    <t>208 V, 3F + 1N + 1T</t>
  </si>
  <si>
    <t>240 V, 1F + 1N</t>
  </si>
  <si>
    <t>Motores trifásicos mayores a 250 hp</t>
  </si>
  <si>
    <t>4160 V, 3F + 1T</t>
  </si>
  <si>
    <t>Motores trifásicos entre 1 hp y 250 hp</t>
  </si>
  <si>
    <t>Tomacorrientes Interiores / Exteriores</t>
  </si>
  <si>
    <t>120 V, 1F + 1N + 1T</t>
  </si>
  <si>
    <t>Sistema ininterrumpido de potencia</t>
  </si>
  <si>
    <t>Transformadores de servicio auxiliares</t>
  </si>
  <si>
    <t>6. CRITERIOS DE DIMENSIONAMIENTO</t>
  </si>
  <si>
    <t>Para el proceso de dimensionamiento básico de cables se considerán los siguientes aspectos:</t>
  </si>
  <si>
    <t>• Capacidad de corriente.</t>
  </si>
  <si>
    <t>• Factores de corrección por temperatura ambiente.</t>
  </si>
  <si>
    <t>• Factores de corrección por el tipo de instalación (Banco de ductos, tubería a la vista, bandeja).</t>
  </si>
  <si>
    <t>• Caída de tensión en estado estacionario y durante el arranque de motores.</t>
  </si>
  <si>
    <t>• Determinar el corto-circuito máximo soportable para la sección mínima calculada en esta memoria.</t>
  </si>
  <si>
    <t>• Verificación de la temperatura de operación en banco de ductos.</t>
  </si>
  <si>
    <t>Para el cálculo de conductores de baja tensión, los cuales están tendidos en diferentes tipos de canalizaciones (Ej. Conduit la vista, enterrado o bandejas portacables) se toma el factor de corrección de la capacidad de corriente correspondiente a la condición más crítica cuando su longitud supera 3 m o el 10% de la longitud del circuito.</t>
  </si>
  <si>
    <t>6.1 SECCIONES DE CONDUCTORES MÁXIMAS Y MÍNIMAS</t>
  </si>
  <si>
    <t>Las secciones de conductor máximas y mínimas por especificación son las siguientes:</t>
  </si>
  <si>
    <t>• Cables multiconductores de fuerza B.T.: Conductor mínimo 12 AWG y conductor máximo 4 AWG.</t>
  </si>
  <si>
    <t>• Cables monopolares de fuerza B.T.: Conductor mayores o iguales a 2 AWG.</t>
  </si>
  <si>
    <t>• Cables para alumbrado multiconductores ó monopolares (208/120 V): Conductor mínimo 12 AWG, sección 2.4.4.1 del documento de Ecopetrol EDP-G-100, guía de mejores prácticas de ingeniería eléctrica. V1. 2022</t>
  </si>
  <si>
    <t>• Cables monopolares para fuerza M.T. (15 kV y 34.5 kV): Conductor mínimo 1/0 AWG.</t>
  </si>
  <si>
    <t>6.2 CARACTERÍSTICAS CONSTRUCTIVAS DE LOS CABLES ELÉCTRICOS</t>
  </si>
  <si>
    <t>Los cables deben ser especificados según el código AWG y de acuerdo con los tipos de aislamiento XHHW-2 para baja tensión y EPR para media tensión. Para la conexión de bombas electrosumergibles (BES) será cable plano con armadura y aislamiento EPDM, lo anterior de la sección 2.5.12 del documento de Ecopetrol EDP-G-100, guía de mejores prácticas de ingeniería eléctrica. V1. 2022.</t>
  </si>
  <si>
    <t>Los conductores especificados para bandejas portacables deben ser tipo TC de acuerdo con la sección 336.10 del NEC de 2020 (NFPA 70).</t>
  </si>
  <si>
    <t>En las siguientes tablas se presentan las características constructivas de los cables eléctricos de potencia:</t>
  </si>
  <si>
    <t>Tabla 3. Características constructivas de cables de baja tensión</t>
  </si>
  <si>
    <t xml:space="preserve">PARÁMETRO </t>
  </si>
  <si>
    <t>VALOR</t>
  </si>
  <si>
    <t>Conductor</t>
  </si>
  <si>
    <t>Cobre suave clase B, Concéntrico según ASTM B8</t>
  </si>
  <si>
    <t>Número de hilos</t>
  </si>
  <si>
    <t>7 hilos para calibres 18 al 2 AWG
19 hilos para calibres 1 al 4/0 AWG
37 hilos para calibres 250 al 500 kcmil</t>
  </si>
  <si>
    <t>Configuración</t>
  </si>
  <si>
    <t>Multiconductor igual o inferior al calibre 4 AWG
Monopolares desde el calibre 2 AWG hasta 500 kcmil</t>
  </si>
  <si>
    <t>Aislamiento</t>
  </si>
  <si>
    <t>XHHW-2</t>
  </si>
  <si>
    <t>Chaqueta</t>
  </si>
  <si>
    <t>Para Uso en Bandeja Tipo “Tray Cable” - TC
Policloruro de Vinilo PVC
Retardante a la llama
Resistente a la radiación solar</t>
  </si>
  <si>
    <t>Tensión máxima de operación</t>
  </si>
  <si>
    <t>600 V</t>
  </si>
  <si>
    <t>Temperatura máxima de operación</t>
  </si>
  <si>
    <t>90 °C en lugares secos o húmedos
130 °C Sobrecarga
250 °C Corto circuito</t>
  </si>
  <si>
    <t>Identificación polos</t>
  </si>
  <si>
    <t>Por colores de aislamiento según tabla 13 del RETIE “Código de Colores para conductores”</t>
  </si>
  <si>
    <t>Fuente: Especificación técnica de cables de media y baja tensión, ECP-VST-P-ELE-ET-002.</t>
  </si>
  <si>
    <t>Tabla 4. Características constructivas de cables de media tensión</t>
  </si>
  <si>
    <t>Tipo</t>
  </si>
  <si>
    <t>MV-90</t>
  </si>
  <si>
    <t>19 hilos para calibres 1 al 4/0 AWG
37 hilos para calibres 250 al 500 kcmil</t>
  </si>
  <si>
    <t>Monopolares desde el calibre 1/0 AWG hasta 500 kcmil</t>
  </si>
  <si>
    <t>Barrera contra húmedad</t>
  </si>
  <si>
    <t>Resistencia a fenómenos "Water Treeing"</t>
  </si>
  <si>
    <t>Blindaje del conductor</t>
  </si>
  <si>
    <t>Pantalla de semiconductor extruido ICEA-S- 93-639</t>
  </si>
  <si>
    <t>Ethylene Propilene Rubber (EPR) MV90</t>
  </si>
  <si>
    <t>Blindaje del aislamiento</t>
  </si>
  <si>
    <t>Pantalla de semiconductor extruido</t>
  </si>
  <si>
    <t>Pantalla metálica</t>
  </si>
  <si>
    <t>Cinta de cobre de forma helicoidal con traslape mínimo 12.5%</t>
  </si>
  <si>
    <t>Cloruro de Polivinilo</t>
  </si>
  <si>
    <t>Armadura</t>
  </si>
  <si>
    <t>Sin armadura</t>
  </si>
  <si>
    <t>Chaqueta Exterior</t>
  </si>
  <si>
    <t>Policloruro de Vinilo PVC Color ROJO
Retardante a la llama
Resistente a la radiación solar</t>
  </si>
  <si>
    <t>15 kV, 36 kV</t>
  </si>
  <si>
    <t>Nivel de aislamiento</t>
  </si>
  <si>
    <t>6.3 MÉTODO DE INSTALACIÓN</t>
  </si>
  <si>
    <t>A continuación, se enumeran los métodos de instalación utilizados para cables eléctricos:</t>
  </si>
  <si>
    <t>Los cables de B.T. en campo serán instalados de forma aérea, subterránea en bandejas portacables. La llegada a las cargas se realizará en bandejas tipo escalera, las acometidas a las cargas en tubería conduit IMC a la vista y dentro del CCM o switchgear cables en bandejas tipo escalera sin tapa.</t>
  </si>
  <si>
    <t xml:space="preserve">Si los requerimientos de la carga demandan un cable de diámetro mayor estos serán monopolares como máxima sección 500 kcmil. </t>
  </si>
  <si>
    <t>6.3.1.  Cables instalados en bandejas portacables</t>
  </si>
  <si>
    <t>Los cables de Baja Tensión (B.T) o cables de Media Tensión (MT) serán instalados en bandejas independientes tipo escalera con tapa, en una sola capa y dentro de cada bandeja no habrá separación entre los cables.</t>
  </si>
  <si>
    <t>6.3.2.  Cables instalados en banco de ductos subterráneos</t>
  </si>
  <si>
    <t>• Cables instalados en tubos de PVC DB, un circuito por ducto y embebidos en concreto.</t>
  </si>
  <si>
    <t>• Profundidad mínima en zona peatonal:</t>
  </si>
  <si>
    <t>0.60 m desde el límite del suelo hasta la parte superior del banco</t>
  </si>
  <si>
    <t>• Profundidad mínima en zona vehicular:</t>
  </si>
  <si>
    <t>0.90 m desde el límite del suelo hasta la parte superior del banco</t>
  </si>
  <si>
    <t>• Número de capas de ductos:</t>
  </si>
  <si>
    <t>Hasta 4 (cables de fuerza)</t>
  </si>
  <si>
    <t>• Espaciamiento entre caras de ductos B.T.:</t>
  </si>
  <si>
    <t>30 mm mínimo</t>
  </si>
  <si>
    <t>• Espaciamiento entre caras de ductos M.T.:</t>
  </si>
  <si>
    <t>50 mm mínimo</t>
  </si>
  <si>
    <t>6.4 CÁLCULO DE CORRIENTE</t>
  </si>
  <si>
    <t>Para el cálculo de la corriente nominal de las diferentes cargas se utilizan las siguientes ecuaciones:</t>
  </si>
  <si>
    <t>Tabla 5. Ecuaciones cálculo corriente</t>
  </si>
  <si>
    <t>MONOFÁSICA</t>
  </si>
  <si>
    <t>BIFÁSICA</t>
  </si>
  <si>
    <t>TRIFÁSICA</t>
  </si>
  <si>
    <t>VA: Es la potencia consumida por la carga.
VL-N: Es la tensión línea-neutro.
VL-L: Es la tensión línea-línea</t>
  </si>
  <si>
    <t>En el caso de los motores la corriente nominal se obtiene por medio a la Tabla 430.250 del NEC de 2020 (NFPA 70). Los valores de eficiencia de acuerdo con la Tabla 12-12 del NEMA-MG1 y los valores del factor de potencia según la fórmula del numeral 14.44.1 de la misma norma.</t>
  </si>
  <si>
    <t>6.5 DIMENSIONAMIENTO DE CONDUCTORES POR CAPACIDAD DE CORRIENTE</t>
  </si>
  <si>
    <t>A continuación se establecen las referencias a las capacidades nominales de conducción de corriente de los cables eléctricos para canalizaciones en bancos de ductos, tubería a la vista y bandejas portacables:</t>
  </si>
  <si>
    <t>6.5.1. Capacidad de corriente para cables tendidos en bandeja</t>
  </si>
  <si>
    <t>6.5.1.1. Cables de baja tensión</t>
  </si>
  <si>
    <t>El cálculo de la capacidad de corriente se hace de acuerdo a la sección 392.80(A) del NEC de 2020 (NFPA 70), para la siguiente configuración descrita a continuación:</t>
  </si>
  <si>
    <t>• Tipo de bandeja:</t>
  </si>
  <si>
    <t>Escalera</t>
  </si>
  <si>
    <t>• Tapa:</t>
  </si>
  <si>
    <t>Bajo techo: No     Al aire libre: Si</t>
  </si>
  <si>
    <t>• Número de capas del cable:</t>
  </si>
  <si>
    <t>• Distancia entre cables:</t>
  </si>
  <si>
    <t>2.15 veces el diámetro del conductor utilizado; sección 2.4.5.3 del documento de Ecopetrol EDP-G-100, guía de mejores prácticas de ingeniería eléctrica. V1. 2022.</t>
  </si>
  <si>
    <t>Para la configuración anterior aplican las siguientes tablas y artículos:</t>
  </si>
  <si>
    <t>6.5.1.1.1. Cables multiconductores</t>
  </si>
  <si>
    <t>• La capacidad de corriente no superará la indicada en la tabla 310.17 del NEC de 2020 (NFPA 70).</t>
  </si>
  <si>
    <t>• Factores de corrección por temperatura según la tabla 310.15(B)(1) del NEC de 2020 (NFPA 70).</t>
  </si>
  <si>
    <t>• Factores de corrección por agrupamiento según artículo 392.80(A) del NEC de 2020 (NFPA 70), este factor sólo se aplica cuando hay tapa en la bandeja.</t>
  </si>
  <si>
    <t>6.5.1.1.2. Cables monopolares</t>
  </si>
  <si>
    <t>• Factores de corrección por agrupamiento según artículo 392.80(A) del NEC de 2020 (NFPA 70).</t>
  </si>
  <si>
    <t>6.5.1.2. Cables de media tensión</t>
  </si>
  <si>
    <t>El cálculo de la capacidad de corriente se hace de acuerdo a la sección 392.80(B) del NEC de 2020 (NFPA 70), para la siguiente configuración descrita a continuación:</t>
  </si>
  <si>
    <t>Si</t>
  </si>
  <si>
    <t>6.5.1.2.1. Cables monopolares</t>
  </si>
  <si>
    <t>• La capacidad de corriente no superará la indicada en la tabla 311.60(C)(69) para cobre y 311.60(C)(70) para aluminio del NEC de 2020 (NFPA 70).</t>
  </si>
  <si>
    <t>• Factores de corrección por temperatura según la tabla 311.60(D)(4)del NEC de 2020 (NFPA 70).</t>
  </si>
  <si>
    <t>• Factores de corrección por agrupamiento según artículo 392.80(B) del NEC de 2020 (NFPA 70).</t>
  </si>
  <si>
    <t>6.5.2. Capacidad de corriente para cables tendidos en banco de ductos y conduit a la vista</t>
  </si>
  <si>
    <t>6.5.2.1. Cables de baja tensión</t>
  </si>
  <si>
    <t>La capacidad de corriente se hace de acuerdo a la sección 310.15(B) del NEC de 2020 (NFPA 70).</t>
  </si>
  <si>
    <t>6.5.2.1.1. Cables multiconductores</t>
  </si>
  <si>
    <t>• La capacidad de corriente no superará la indicada en la tabla 310.16 del NEC de 2020 (NFPA 70).</t>
  </si>
  <si>
    <t>• Factores de corrección por agrupamiento según la tabla 310.15(C)(1) del NEC de 2020 (NFPA 70), este factor sólo se aplica cuando hay más de tres conductores portadores de corriente en una misma tubería.</t>
  </si>
  <si>
    <t>6.5.2.1.2. Cables monopolares</t>
  </si>
  <si>
    <t>6.5.2.2. Cables de media tensión</t>
  </si>
  <si>
    <t>La capacidad de corriente se hace de acuerdo a la sección 311.60(C) del NEC de 2020 (NFPA 70).</t>
  </si>
  <si>
    <t>6.5.2.2.1. Cables monopolares</t>
  </si>
  <si>
    <t>• La capacidad de corriente no superará la indicada en la tabla 311.60(C)(77) para cobre y 311.60(C)(78) para aluminio del NEC de 2020 (NFPA 70).</t>
  </si>
  <si>
    <t>• Factores de corrección por temperatura según la tabla 311.60(D)(4) del NEC de 2020 (NFPA 70).</t>
  </si>
  <si>
    <t>• Factores de corrección por agrupamiento según la tabla 311.60(C)(79) para cobre y 311.60(C)(80) para aluminio del NEC de 2020 (NFPA 70), este factor sólo se aplica cuando hay más de tres conductores portadores de corriente en una misma tubería.</t>
  </si>
  <si>
    <t>6.5.3.  Conductor de puesta a tierra de los circuitos alimentadores</t>
  </si>
  <si>
    <t>El calibre del conductor de retorno por tierra de los circuitos alimentadores se dimensiona con base en la tabla 250.122 NEC de 2020 (NFPA 70).</t>
  </si>
  <si>
    <t>6.6 DIMENSIONAMIENTO DE CONDUCTORES POR CAÍDA DE TENSIÓN</t>
  </si>
  <si>
    <t>El valor de caída de tensión está basado en la resistencia y reactancia AC de los conductores, en la tabla 9 del capitulo 9 del NEC de 2020 (NFPA 70) se presentan estos valores de los conductores para 75°C. Dado que los conductores a instalar se encuentran en un rango de temperatura de 60°C a 90°C, los valores de la resistencia se corrige con la ecuación mencionada en la nota 2 de la tabla 8 del NEC de 2020 (NFPA 70) mostrada a continuación:</t>
  </si>
  <si>
    <t>Donde:</t>
  </si>
  <si>
    <t>Dónde:</t>
  </si>
  <si>
    <r>
      <rPr>
        <b/>
        <i/>
        <sz val="11"/>
        <rFont val="Arial"/>
        <family val="2"/>
      </rPr>
      <t>R</t>
    </r>
    <r>
      <rPr>
        <b/>
        <i/>
        <vertAlign val="subscript"/>
        <sz val="11"/>
        <rFont val="Arial"/>
        <family val="2"/>
      </rPr>
      <t>2</t>
    </r>
    <r>
      <rPr>
        <b/>
        <i/>
        <sz val="11"/>
        <rFont val="Arial"/>
        <family val="2"/>
      </rPr>
      <t xml:space="preserve">: </t>
    </r>
    <r>
      <rPr>
        <sz val="11"/>
        <rFont val="Arial"/>
        <family val="2"/>
      </rPr>
      <t>Resistencia obtenida corregida a la temperatura nueva</t>
    </r>
  </si>
  <si>
    <r>
      <rPr>
        <b/>
        <i/>
        <sz val="11"/>
        <rFont val="Arial"/>
        <family val="2"/>
      </rPr>
      <t>R</t>
    </r>
    <r>
      <rPr>
        <b/>
        <i/>
        <vertAlign val="subscript"/>
        <sz val="11"/>
        <rFont val="Arial"/>
        <family val="2"/>
      </rPr>
      <t>1</t>
    </r>
    <r>
      <rPr>
        <b/>
        <i/>
        <sz val="11"/>
        <rFont val="Arial"/>
        <family val="2"/>
      </rPr>
      <t xml:space="preserve">: </t>
    </r>
    <r>
      <rPr>
        <sz val="11"/>
        <rFont val="Arial"/>
        <family val="2"/>
      </rPr>
      <t>Resistencia actual a 75°C</t>
    </r>
  </si>
  <si>
    <r>
      <rPr>
        <b/>
        <i/>
        <sz val="11"/>
        <rFont val="Arial"/>
        <family val="2"/>
      </rPr>
      <t>T</t>
    </r>
    <r>
      <rPr>
        <b/>
        <i/>
        <vertAlign val="subscript"/>
        <sz val="11"/>
        <rFont val="Arial"/>
        <family val="2"/>
      </rPr>
      <t>2</t>
    </r>
    <r>
      <rPr>
        <b/>
        <i/>
        <sz val="11"/>
        <rFont val="Arial"/>
        <family val="2"/>
      </rPr>
      <t xml:space="preserve">: </t>
    </r>
    <r>
      <rPr>
        <sz val="11"/>
        <rFont val="Arial"/>
        <family val="2"/>
      </rPr>
      <t>Temperatura a corregir</t>
    </r>
  </si>
  <si>
    <r>
      <rPr>
        <b/>
        <sz val="11"/>
        <rFont val="Arial"/>
        <family val="2"/>
      </rPr>
      <t>α</t>
    </r>
    <r>
      <rPr>
        <b/>
        <i/>
        <sz val="11"/>
        <rFont val="Arial"/>
        <family val="2"/>
      </rPr>
      <t xml:space="preserve">: </t>
    </r>
    <r>
      <rPr>
        <sz val="11"/>
        <rFont val="Arial"/>
        <family val="2"/>
      </rPr>
      <t>Constante de cambio: 0.00323 para cobre, 0.00330 para aluminio</t>
    </r>
  </si>
  <si>
    <t>6.6.1.  Cálculo de regulación</t>
  </si>
  <si>
    <t>La fórmula aplicada para cálculo de regulación de tensión en un circuito, es una deducción de la fórmula dada en la norma IEEE 141, numeral 3.11: "Calculation of voltage drops", a continuación se realiza la deducción de la formula:</t>
  </si>
  <si>
    <t>Ec.1</t>
  </si>
  <si>
    <t>Ec.2</t>
  </si>
  <si>
    <t>Ec.3</t>
  </si>
  <si>
    <t>Ec.4</t>
  </si>
  <si>
    <t>Para determinar la caída de tensión en un conductor especifico, se deberá multiplica la ecuación 4 por la longitud del conductor y por una constante "k" que hace referencia al tipo de sistema en el cual se encuentra conectado la carga. La constante "k" se determina a partir de la tabla del numeral 3.11 de la norma IEEE 141, para tener el voltaje línea-neutro o línea-línea:</t>
  </si>
  <si>
    <t>Tabla 6. Factor k para ecuación caída de tensión</t>
  </si>
  <si>
    <t>CIRCUITOS</t>
  </si>
  <si>
    <t>MULTIPLO</t>
  </si>
  <si>
    <t>Circuitos monofásicos y bifásicos</t>
  </si>
  <si>
    <t>Circuitos trifásicos</t>
  </si>
  <si>
    <t>Ec.5</t>
  </si>
  <si>
    <t>Se realiza el ajuste de las unidades en la ecuación 5:</t>
  </si>
  <si>
    <t>Ec.6</t>
  </si>
  <si>
    <t>Ec.7</t>
  </si>
  <si>
    <t>La impedancia equivalente en la ecuación 3 se reemplaza las funciones trigonométricas a continuación :</t>
  </si>
  <si>
    <t>Ec.8</t>
  </si>
  <si>
    <t>Ec.9</t>
  </si>
  <si>
    <t>Ec.10</t>
  </si>
  <si>
    <t>Ec.11</t>
  </si>
  <si>
    <t>Ec.12</t>
  </si>
  <si>
    <t>Se hace el cambio en la ecuación 7:</t>
  </si>
  <si>
    <t>Ec.13</t>
  </si>
  <si>
    <t>Se determina a continuación la caída de tensión en porcentaje, para lo anterior se tiene en cuenta la siguiente formula:</t>
  </si>
  <si>
    <t>Ec.14</t>
  </si>
  <si>
    <t>Finalmente se debe tener en cuenta que se pueden presentar alimentadores con varios conductores por fase, lo anterior permite incorporar este parámetro en la ecuación 14:</t>
  </si>
  <si>
    <t>Ec.15</t>
  </si>
  <si>
    <t>Se realiza el cambio de la ecuación 13 en la ecuación 15 y se realizan las reducciones pertinentes, dando como resultado la siguiente ecuación:</t>
  </si>
  <si>
    <t>Ec.16</t>
  </si>
  <si>
    <r>
      <rPr>
        <b/>
        <i/>
        <sz val="11"/>
        <rFont val="Arial"/>
        <family val="2"/>
      </rPr>
      <t xml:space="preserve">I: </t>
    </r>
    <r>
      <rPr>
        <sz val="11"/>
        <rFont val="Arial"/>
        <family val="2"/>
      </rPr>
      <t>Corriente nominal en Amperios [A]</t>
    </r>
  </si>
  <si>
    <r>
      <rPr>
        <b/>
        <i/>
        <sz val="11"/>
        <rFont val="Arial"/>
        <family val="2"/>
      </rPr>
      <t xml:space="preserve">L: </t>
    </r>
    <r>
      <rPr>
        <sz val="11"/>
        <rFont val="Arial"/>
        <family val="2"/>
      </rPr>
      <t>Longitud del circuito en metros [m]</t>
    </r>
  </si>
  <si>
    <r>
      <rPr>
        <b/>
        <i/>
        <sz val="11"/>
        <rFont val="Arial"/>
        <family val="2"/>
      </rPr>
      <t xml:space="preserve">R: </t>
    </r>
    <r>
      <rPr>
        <sz val="11"/>
        <rFont val="Arial"/>
        <family val="2"/>
      </rPr>
      <t>Resistencia del conductor en ohmios por kilómetro [</t>
    </r>
    <r>
      <rPr>
        <sz val="11"/>
        <rFont val="Calibri"/>
        <family val="2"/>
      </rPr>
      <t>Ω</t>
    </r>
    <r>
      <rPr>
        <sz val="11"/>
        <rFont val="Arial"/>
        <family val="2"/>
      </rPr>
      <t>/km]</t>
    </r>
  </si>
  <si>
    <r>
      <rPr>
        <b/>
        <i/>
        <sz val="11"/>
        <rFont val="Arial"/>
        <family val="2"/>
      </rPr>
      <t xml:space="preserve">X: </t>
    </r>
    <r>
      <rPr>
        <sz val="11"/>
        <rFont val="Arial"/>
        <family val="2"/>
      </rPr>
      <t>Reactancia del conductor en ohmios por kilómetro [</t>
    </r>
    <r>
      <rPr>
        <sz val="11"/>
        <rFont val="Calibri"/>
        <family val="2"/>
      </rPr>
      <t>Ω</t>
    </r>
    <r>
      <rPr>
        <sz val="11"/>
        <rFont val="Arial"/>
        <family val="2"/>
      </rPr>
      <t>/km]</t>
    </r>
  </si>
  <si>
    <r>
      <rPr>
        <b/>
        <i/>
        <sz val="11"/>
        <rFont val="Arial"/>
        <family val="2"/>
      </rPr>
      <t xml:space="preserve">Zc: </t>
    </r>
    <r>
      <rPr>
        <sz val="11"/>
        <rFont val="Arial"/>
        <family val="2"/>
      </rPr>
      <t>Impedancia del conductor en ohmios por kilómetro [</t>
    </r>
    <r>
      <rPr>
        <sz val="11"/>
        <rFont val="Calibri"/>
        <family val="2"/>
      </rPr>
      <t>Ω</t>
    </r>
    <r>
      <rPr>
        <sz val="11"/>
        <rFont val="Arial"/>
        <family val="2"/>
      </rPr>
      <t>/km]</t>
    </r>
  </si>
  <si>
    <r>
      <rPr>
        <b/>
        <i/>
        <sz val="11"/>
        <rFont val="Arial"/>
        <family val="2"/>
      </rPr>
      <t xml:space="preserve">Vn: </t>
    </r>
    <r>
      <rPr>
        <sz val="11"/>
        <rFont val="Arial"/>
        <family val="2"/>
      </rPr>
      <t>Tensión nominal en voltios [V]</t>
    </r>
  </si>
  <si>
    <r>
      <rPr>
        <b/>
        <i/>
        <sz val="11"/>
        <rFont val="Arial"/>
        <family val="2"/>
      </rPr>
      <t xml:space="preserve">FP: </t>
    </r>
    <r>
      <rPr>
        <sz val="11"/>
        <rFont val="Arial"/>
        <family val="2"/>
      </rPr>
      <t>Factor de potencia</t>
    </r>
  </si>
  <si>
    <t>6.6.2.  Valores permitidos para la caída de tensión</t>
  </si>
  <si>
    <t>La caída de tensión esta definido por los artículos 210.19(A) Nota 3 y 215.2(A)(1)(b) Nota 2 del NEC de 2022 (NFPA 70), donde expresa que entre el alimentador principal y los ramales de cada circuito no debe superar el 5% de caída de tensión.</t>
  </si>
  <si>
    <t>Tabla 7. Caídas de tensión permitidas</t>
  </si>
  <si>
    <t>USUARIO</t>
  </si>
  <si>
    <t>CRITERIO</t>
  </si>
  <si>
    <t>Alimentadores principales</t>
  </si>
  <si>
    <t>- Caída de tensión máxima permitida: 2%</t>
  </si>
  <si>
    <t>Ramales de alimentadores principales</t>
  </si>
  <si>
    <t>- Caída de tensión máxima permitida: 3%</t>
  </si>
  <si>
    <t>Alimentadores de paneles de alumbrado y paneles de tomas con transformadores</t>
  </si>
  <si>
    <t>Alimentadores de tableros de distribución</t>
  </si>
  <si>
    <t>Ramales de alimentadores de tableros de distribución</t>
  </si>
  <si>
    <t>Alimentadores de luminarias y tomas</t>
  </si>
  <si>
    <t>Fuente. NFPA 70, NEC de 2020.</t>
  </si>
  <si>
    <t>6.6.3.  Arranque de motores</t>
  </si>
  <si>
    <t>La caída de tensión durante este evento transitorio es un caso particular de la caída de tensión durante operación normal, se calcula con la misma ecuación indicada en el ítem 6.6.1 del presente documento, pero se modifican los datos de corriente y de factor de potencia.</t>
  </si>
  <si>
    <t xml:space="preserve">La corriente de arranque a considerar depende del tipo de arrancador, a continuación se ilustran en la siguiente tabla, indicando para cada uno, la corriente de arranque en función de la corriente nominal. </t>
  </si>
  <si>
    <t>Tabla 8. Corriente de arranque</t>
  </si>
  <si>
    <t>TIPO DE ARRANQUE</t>
  </si>
  <si>
    <t>FACTOR</t>
  </si>
  <si>
    <t>ARRANQUE DIRECTO</t>
  </si>
  <si>
    <t>8 * In</t>
  </si>
  <si>
    <t>ARRANQUE  Δ-Y</t>
  </si>
  <si>
    <t>6 * In</t>
  </si>
  <si>
    <t>ARRANQUE  SUAVE</t>
  </si>
  <si>
    <t>3 * In</t>
  </si>
  <si>
    <t>ARRANQUE CON VARIADOR</t>
  </si>
  <si>
    <t>2 * In</t>
  </si>
  <si>
    <t>6.7 DIMENSIONAMIENTO DE CANALIZACIONES PARA CONDUCTORES</t>
  </si>
  <si>
    <t>El dimensionamiento de las canalizaciones para los conductores cálculados, va determinado por el tipo de canalización seleccionada.</t>
  </si>
  <si>
    <t>6.7.1.  Cálculo de la sección de la tubería conduit</t>
  </si>
  <si>
    <t>La sección de los tubos conduit que serán utilizados para canalización de cables de potencia, se define teniendo en cuenta los siguientes aspectos:</t>
  </si>
  <si>
    <t>• El porcentaje del área para tubería conduit PVC DB*.</t>
  </si>
  <si>
    <t>• El porcentaje del área para tubería conduit IMC*.</t>
  </si>
  <si>
    <t>• El porcentaje del área para tubería conduit flexible no metálico*.</t>
  </si>
  <si>
    <t>• Diámetros internos de catálogos de fabricante.</t>
  </si>
  <si>
    <t>* El porcentaje del área para cada tipo de tubería, depende de la cantidad de conductores por una tubería conduit como se observa en la tabla 4 del NEC de 2020 (NFPA 70).</t>
  </si>
  <si>
    <t>Una vez obtenidos los valores anterior mencionados, se aplica la siguiente ecuación para encontrar el diámetro del conduit requerido, se deberá seleccionar un tamaño igual ó inmediatamente superior al obtenido por la fórmula:</t>
  </si>
  <si>
    <t>Por razones de construcción y homogenización del diseño no se seleccionarán tuberías conduit de diámetro menor a 1” para cables de fuerza, control ó sistemas auxiliares de los motores principales del proyecto ó paneles locales de distribución en campo.</t>
  </si>
  <si>
    <t>6.7.2.  Cálculo de las bandejas portacables</t>
  </si>
  <si>
    <t>El dimensionamiento de las bandejas portacables esta definido por los artículos 392.22(B) y 392.22(C) del NEC de 2020 (NFPA 70), donde expresa las diferentes formas de cálcular el área o diámetro totales de los conductores, lo anterior depende de la configuración de los conductores y se observa en los siguientes aspectos:</t>
  </si>
  <si>
    <t>6.7.2.1. Artículo 392.22(B)</t>
  </si>
  <si>
    <t>• Cables multiconductores: Se realiza la sumatoria de todas las áreas de los conductores.</t>
  </si>
  <si>
    <t>• Cables monopolares mayor e igual a 1000 kcmil: Se realiza la sumatoria de todos los diámetros de los conductores.</t>
  </si>
  <si>
    <t>• Cables monopolares mayor e igual a 1/0 AWG y menor e igual a 4/0 AWG: Se realiza la sumatoria de todos las áreas de los conductores.</t>
  </si>
  <si>
    <t>• Cables monopolares mayor e igual a 1/0 AWG y menor e igual a 4/0 AWG e incluya en la canalización conductores mayor e igual a 250 kcmil: Se realiza la sumatoria de todos los diámetros de los conductores.</t>
  </si>
  <si>
    <t>• Cables monopolares mayor e igual a 250 kcmil y menor e igual a 900 kcmil: Se realiza la sumatoria de todos las áreas de los conductores.</t>
  </si>
  <si>
    <t>6.7.2.2. Artículo 392.22(C)</t>
  </si>
  <si>
    <t>• Cables multiconductores y monopolares en la misma canalización: Se realiza la sumatoria de todos los diámetros de los conductores.</t>
  </si>
  <si>
    <t>7. CÁLCULO DE PROTECCIONES</t>
  </si>
  <si>
    <t>7.1 DIMENSIONAMIENTO DE PROTECCIONES</t>
  </si>
  <si>
    <t>Las factores para el dimensionamiento de las protecciones para los diferentes equipos se observan en la siguiente tabla:</t>
  </si>
  <si>
    <t>Tabla 9. Factores multiplicadores</t>
  </si>
  <si>
    <t>TIPO DE CARGA</t>
  </si>
  <si>
    <t>ARTÍCULO NEC de 2020 (NFPA 70)</t>
  </si>
  <si>
    <t>Motores baja tensión</t>
  </si>
  <si>
    <t>430.32(1)</t>
  </si>
  <si>
    <t>Motores media tensión</t>
  </si>
  <si>
    <t>Motores válvulas</t>
  </si>
  <si>
    <t>430.32(2)</t>
  </si>
  <si>
    <t>Capacitores</t>
  </si>
  <si>
    <t>Transformadores lado primario</t>
  </si>
  <si>
    <t>Hasta 300%</t>
  </si>
  <si>
    <t>Tabla 450.3(A) - Media Tensión
Tabla 450.3(B) - Baja Tensión</t>
  </si>
  <si>
    <t>Transformadores lado secundario</t>
  </si>
  <si>
    <t>Tableros de distribución</t>
  </si>
  <si>
    <t>408.36(B)</t>
  </si>
  <si>
    <t>CCM y Switchgear</t>
  </si>
  <si>
    <t>VFD</t>
  </si>
  <si>
    <t>430.109(7)(D)</t>
  </si>
  <si>
    <t>UPS</t>
  </si>
  <si>
    <t>8. CÁLCULO ECONÓMICO DE LOS CONDUCTORES</t>
  </si>
  <si>
    <t>El cálculo económico de los conductores busca la mejor eficiencia económica posible para conducir energía desde la fuente de alimentación hasta su punto de utilización, estableciendo el material y calibre de los cables conductores eléctricos que logren su menor costo económico de instalación y operación durante la vida útil del proyecto.
Los costos económicos de operación son resultado de las pérdidas de energía por disipación en forma de calor en los cables conductores eléctricos.</t>
  </si>
  <si>
    <t>8.1 PÉRDIDAS POR EFECTO JOULE</t>
  </si>
  <si>
    <t>Las pérdidas por efecto Joule en cables conductores eléctricos son resultado de las continuas colisiones de los electrones de la corriente eléctrica con los núcleos atómicos del material conductor, produciendo que parte de la energía transmitida se convierta en calor que eleva la temperatura de los materiales que componen el cable. Estas pérdidas son irreversibles e inevitables por lo que se busca su reducción.</t>
  </si>
  <si>
    <t>Ec.17</t>
  </si>
  <si>
    <r>
      <rPr>
        <b/>
        <i/>
        <sz val="11"/>
        <rFont val="Arial"/>
        <family val="2"/>
      </rPr>
      <t>E.</t>
    </r>
    <r>
      <rPr>
        <sz val="11"/>
        <rFont val="Arial"/>
        <family val="2"/>
      </rPr>
      <t xml:space="preserve"> Energía eléctrica del conductor, [Wh].</t>
    </r>
  </si>
  <si>
    <t>Resistencia c.a. aparente del conductor por unidad de longitud, tomando en cuenta los efectos pelicular y de proximidad (yp, ys) y las pérdidas en blindajes metálicos y armazones (λ1, λ2), [Ω/m].</t>
  </si>
  <si>
    <r>
      <rPr>
        <b/>
        <i/>
        <sz val="11"/>
        <rFont val="Arial"/>
        <family val="2"/>
      </rPr>
      <t>R.</t>
    </r>
    <r>
      <rPr>
        <sz val="11"/>
        <rFont val="Arial"/>
        <family val="2"/>
      </rPr>
      <t xml:space="preserve"> Resistencia eléctrica del conductor, [Ω].</t>
    </r>
  </si>
  <si>
    <r>
      <rPr>
        <b/>
        <i/>
        <sz val="11"/>
        <rFont val="Arial"/>
        <family val="2"/>
      </rPr>
      <t>Imax.</t>
    </r>
    <r>
      <rPr>
        <sz val="11"/>
        <rFont val="Arial"/>
        <family val="2"/>
      </rPr>
      <t xml:space="preserve"> Carga máxima en el cable durante el primer año, [A].</t>
    </r>
  </si>
  <si>
    <t xml:space="preserve"> Carga máxima en el cable durante el primer año, [A].</t>
  </si>
  <si>
    <r>
      <rPr>
        <b/>
        <sz val="11"/>
        <rFont val="Calibri"/>
        <family val="2"/>
      </rPr>
      <t>Δt</t>
    </r>
    <r>
      <rPr>
        <b/>
        <i/>
        <sz val="11"/>
        <rFont val="Arial"/>
        <family val="2"/>
      </rPr>
      <t>.</t>
    </r>
    <r>
      <rPr>
        <sz val="11"/>
        <rFont val="Arial"/>
        <family val="2"/>
      </rPr>
      <t xml:space="preserve"> Intervalo de tiempo de circulación de la corriente, [h].</t>
    </r>
  </si>
  <si>
    <t>Ec.18</t>
  </si>
  <si>
    <r>
      <rPr>
        <b/>
        <i/>
        <sz val="11"/>
        <rFont val="Arial"/>
        <family val="2"/>
      </rPr>
      <t>ρ.</t>
    </r>
    <r>
      <rPr>
        <sz val="11"/>
        <rFont val="Arial"/>
        <family val="2"/>
      </rPr>
      <t xml:space="preserve"> Resistividad eléctrica del material conductor [Ω.mm</t>
    </r>
    <r>
      <rPr>
        <vertAlign val="superscript"/>
        <sz val="11"/>
        <rFont val="Arial"/>
        <family val="2"/>
      </rPr>
      <t>2</t>
    </r>
    <r>
      <rPr>
        <sz val="11"/>
        <rFont val="Arial"/>
        <family val="2"/>
      </rPr>
      <t>/km]</t>
    </r>
  </si>
  <si>
    <r>
      <rPr>
        <b/>
        <i/>
        <sz val="11"/>
        <rFont val="Arial"/>
        <family val="2"/>
      </rPr>
      <t>l.</t>
    </r>
    <r>
      <rPr>
        <sz val="11"/>
        <rFont val="Arial"/>
        <family val="2"/>
      </rPr>
      <t xml:space="preserve"> Longitud del cable [km].</t>
    </r>
    <r>
      <rPr>
        <b/>
        <sz val="11"/>
        <rFont val="Arial"/>
        <family val="2"/>
      </rPr>
      <t xml:space="preserve"> </t>
    </r>
  </si>
  <si>
    <t>Longitud del cable, [m].</t>
  </si>
  <si>
    <r>
      <rPr>
        <b/>
        <i/>
        <sz val="11"/>
        <rFont val="Arial"/>
        <family val="2"/>
      </rPr>
      <t>S.</t>
    </r>
    <r>
      <rPr>
        <sz val="11"/>
        <rFont val="Arial"/>
        <family val="2"/>
      </rPr>
      <t xml:space="preserve"> Sección transversal del conductor, [mm</t>
    </r>
    <r>
      <rPr>
        <vertAlign val="superscript"/>
        <sz val="11"/>
        <rFont val="Arial"/>
        <family val="2"/>
      </rPr>
      <t>2</t>
    </r>
    <r>
      <rPr>
        <sz val="11"/>
        <rFont val="Arial"/>
        <family val="2"/>
      </rPr>
      <t>].</t>
    </r>
  </si>
  <si>
    <t>Acorde a las ecuaciones 14 y 15 se entiende que entre mayor sea la resistividad del conductor, mayor será las pérdidas de energía del conductor.</t>
  </si>
  <si>
    <t>8.2 DIMENSIONAMIENTO ECONÓMICOS DE CONDUCTORES</t>
  </si>
  <si>
    <t>El dimensionamiento económico de conductores contempla los requisitos particulares que son considerados en los literales anteriores, estos dependerán del tipo de instalación, una buena selección atiende estos requisitos por independiente donde cada uno de ellos contempla una sección nominal del conductor, el cálculo final de la selección óptima será la mayor sección de las calculadas siendo la sección nominal final. A continuación, se enmarcan los ítems relevantes para el dimensionamiento económico de los conductores:</t>
  </si>
  <si>
    <r>
      <t>a.</t>
    </r>
    <r>
      <rPr>
        <sz val="11"/>
        <rFont val="Arial"/>
        <family val="2"/>
      </rPr>
      <t xml:space="preserve"> Sección nominal mínima del conductor.</t>
    </r>
  </si>
  <si>
    <t>Sección nominal mínima del conductor.</t>
  </si>
  <si>
    <r>
      <t>b.</t>
    </r>
    <r>
      <rPr>
        <sz val="11"/>
        <rFont val="Arial"/>
        <family val="2"/>
      </rPr>
      <t xml:space="preserve"> Capacidad de conducción de corriente del conductor en régimen permanente.</t>
    </r>
  </si>
  <si>
    <r>
      <t xml:space="preserve">c. </t>
    </r>
    <r>
      <rPr>
        <sz val="11"/>
        <rFont val="Arial"/>
        <family val="2"/>
      </rPr>
      <t>Caída de tensión en el conductor.</t>
    </r>
  </si>
  <si>
    <r>
      <t>d.</t>
    </r>
    <r>
      <rPr>
        <sz val="11"/>
        <rFont val="Arial"/>
        <family val="2"/>
      </rPr>
      <t xml:space="preserve"> Protección del conductor contra sobrecarga.</t>
    </r>
  </si>
  <si>
    <r>
      <t xml:space="preserve">e. </t>
    </r>
    <r>
      <rPr>
        <sz val="11"/>
        <rFont val="Arial"/>
        <family val="2"/>
      </rPr>
      <t>Protección del conductor contra cortocircuito.</t>
    </r>
  </si>
  <si>
    <r>
      <t xml:space="preserve">f. </t>
    </r>
    <r>
      <rPr>
        <sz val="11"/>
        <rFont val="Arial"/>
        <family val="2"/>
      </rPr>
      <t>Derrateos por agrupamiento, temperatura ambiento o canalización.</t>
    </r>
  </si>
  <si>
    <t>Teniendo en cuenta los parámetros anteriores, las siguientes ecuaciones se utilizan para el dimensionamiento económico de conductores y provienen de la norma IEC 60287-3-2.</t>
  </si>
  <si>
    <t>Ec.19</t>
  </si>
  <si>
    <t>Ec.20</t>
  </si>
  <si>
    <t>Ec.21</t>
  </si>
  <si>
    <t>Ec.22</t>
  </si>
  <si>
    <t>Ec.23</t>
  </si>
  <si>
    <t>Ec.24</t>
  </si>
  <si>
    <t>Sección económica del conductor [mm²].</t>
  </si>
  <si>
    <r>
      <rPr>
        <b/>
        <i/>
        <sz val="11"/>
        <rFont val="Arial"/>
        <family val="2"/>
      </rPr>
      <t>Imax</t>
    </r>
    <r>
      <rPr>
        <sz val="11"/>
        <rFont val="Arial"/>
        <family val="2"/>
      </rPr>
      <t xml:space="preserve"> Carga máxima en el cable durante el primer año, [A].</t>
    </r>
  </si>
  <si>
    <t>F</t>
  </si>
  <si>
    <t>Resistividad eléctrica del material conductor a 20°C [Ωm].</t>
  </si>
  <si>
    <t>B</t>
  </si>
  <si>
    <t>Coeficiente de temperatura para la resistencia del conductor a 20°C [K¯¹].</t>
  </si>
  <si>
    <t>Temperatura promedio de operación del conductor [°C].</t>
  </si>
  <si>
    <t>A</t>
  </si>
  <si>
    <t>Componente variable del costo por unidad de longitud conforme la sección del conductor [$/m.mm²].</t>
  </si>
  <si>
    <t>Número de conductores de fase por circuito.</t>
  </si>
  <si>
    <t>Número de circuitos que llevan el mismo tipo y valor de carga.</t>
  </si>
  <si>
    <t>T</t>
  </si>
  <si>
    <t>Tiempo de operación con pérdida por calentamiento máxima [h/año].</t>
  </si>
  <si>
    <t>P</t>
  </si>
  <si>
    <t>Costo de un watt-hora en el nivel de la tensión pertinente [$/W.h].</t>
  </si>
  <si>
    <t>D</t>
  </si>
  <si>
    <t>Variación anual de la demanda [$/W.año].</t>
  </si>
  <si>
    <t>Q</t>
  </si>
  <si>
    <t>i</t>
  </si>
  <si>
    <t>Tasa de capitalización para el cálculo del valor presente [%] (se considera el 1%).</t>
  </si>
  <si>
    <t>Factor de proximidad, conforme IEC60287-1-1.</t>
  </si>
  <si>
    <t>Factor debido al efecto pelicular, conforme IEC 60287-1-1.</t>
  </si>
  <si>
    <t>Factor de pérdida de la cobertura, conforme IEC 60287-1-1.</t>
  </si>
  <si>
    <t>Factor de pérdida del armazón, conforme IEC 60287-1-1.</t>
  </si>
  <si>
    <t>r</t>
  </si>
  <si>
    <t>N</t>
  </si>
  <si>
    <t>Período cubierto por el cálculo financiero, también referido como “vida económica” [año].</t>
  </si>
  <si>
    <t>a</t>
  </si>
  <si>
    <t>Aumento anual de la carga (Imax) [%].</t>
  </si>
  <si>
    <t>b</t>
  </si>
  <si>
    <t>Aumento anual del costo de energía, sin incluir los efectos de la inflación [%].</t>
  </si>
  <si>
    <t>Temperatura máxima nominal del conductor para el tipo de cable considerado [ºC].</t>
  </si>
  <si>
    <t>Temperatura ambiente promedio [ºC].</t>
  </si>
  <si>
    <t>8.3 ASPECTOS ECONÓMICOS</t>
  </si>
  <si>
    <t>El costo total de la instalación de los conductores relaciona los costos iniciales del conductor y de la instalación más el costo de las pérdidas de energía representadas en valor presente, estos valores son comparados en un mismo punto en el tiempo.</t>
  </si>
  <si>
    <t>Ec.25</t>
  </si>
  <si>
    <r>
      <rPr>
        <b/>
        <i/>
        <sz val="11"/>
        <rFont val="Arial"/>
        <family val="2"/>
      </rPr>
      <t>Cl.</t>
    </r>
    <r>
      <rPr>
        <b/>
        <sz val="11"/>
        <rFont val="Arial"/>
        <family val="2"/>
      </rPr>
      <t xml:space="preserve"> </t>
    </r>
    <r>
      <rPr>
        <sz val="11"/>
        <rFont val="Arial"/>
        <family val="2"/>
      </rPr>
      <t>Costo inicial de una longitud de cable instalado, [$].</t>
    </r>
  </si>
  <si>
    <t>Costo inicial de una longitud de cable instalado, [$].</t>
  </si>
  <si>
    <r>
      <rPr>
        <b/>
        <i/>
        <sz val="11"/>
        <rFont val="Arial"/>
        <family val="2"/>
      </rPr>
      <t>Cj.</t>
    </r>
    <r>
      <rPr>
        <sz val="11"/>
        <rFont val="Arial"/>
        <family val="2"/>
      </rPr>
      <t xml:space="preserve"> Costo operativo equivalente en la fecha en que la instalación fue adquirida, o sea, el valor presente, de las pérdidas por calentamiento durante la vida considerada, [$].</t>
    </r>
  </si>
  <si>
    <t>Costo operativo equivalente en la fecha en que la instalación fue adquirida, o sea, el valor presente, de las pérdidas por calentamiento durante la vida considerada, [$].</t>
  </si>
  <si>
    <t>Ec.26</t>
  </si>
  <si>
    <r>
      <rPr>
        <b/>
        <i/>
        <sz val="11"/>
        <rFont val="Arial"/>
        <family val="2"/>
      </rPr>
      <t>L.</t>
    </r>
    <r>
      <rPr>
        <sz val="11"/>
        <rFont val="Arial"/>
        <family val="2"/>
      </rPr>
      <t xml:space="preserve"> Longitud del cable [m].</t>
    </r>
    <r>
      <rPr>
        <b/>
        <sz val="11"/>
        <rFont val="Arial"/>
        <family val="2"/>
      </rPr>
      <t xml:space="preserve"> </t>
    </r>
  </si>
  <si>
    <r>
      <t xml:space="preserve">F. </t>
    </r>
    <r>
      <rPr>
        <sz val="11"/>
        <rFont val="Arial"/>
        <family val="2"/>
      </rPr>
      <t>Cantidad auxiliar.</t>
    </r>
  </si>
  <si>
    <t>Calculado por la ecuación [7].</t>
  </si>
  <si>
    <r>
      <rPr>
        <b/>
        <i/>
        <sz val="11"/>
        <rFont val="Arial"/>
        <family val="2"/>
      </rPr>
      <t>R.</t>
    </r>
    <r>
      <rPr>
        <sz val="11"/>
        <rFont val="Arial"/>
        <family val="2"/>
      </rPr>
      <t xml:space="preserve"> Resistencia c.a. aparente del conductor por unidad de longitud, tomando en cuenta los efectos pelicular y de proximidad (yp, ys) y las pérdidas en blindajes metálicos y armazones (λ1, λ2), [Ω/m].</t>
    </r>
  </si>
  <si>
    <t>Ec.27</t>
  </si>
  <si>
    <t>8.4 CÁLCULO ECONÓMICO DE LOS CONDUCTORES</t>
  </si>
  <si>
    <t>CÁLCULOS ECONÓMICOS DEL CONDUCTOR</t>
  </si>
  <si>
    <t>Se realiza una comparación entre la instalación de conductores de cobre (Cu) y de aluminio (Al) para el análisis económico de la mejor opción de conductor considerando los factores técnicos, de confiabilidad y de costos de consumo de energía por pérdidas. El cálculo económico considera el material instalado Cu o Al, acorde a la sección transversal ideal dando tres opciones de selección: OPCIÓN 1= selección económica 1, OPCIÓN 2= selección económica de la opción 1 a un calibre de mayor tamaño y OPCIÓN TÉCNICA= selección económica que fue hallada en el cálculo de cables del presente documento. La selección elegida económica relaciona por tipo de conductor siendo de Cu o Al la mejor opción desde punto de vista de costos y necesidad de la instalación.</t>
  </si>
  <si>
    <t>9. CÁLCULO DE CORTOCIRCUITO DE CONDUCTORES</t>
  </si>
  <si>
    <t>9.1 CÁLCULO DE CORTOCIRCUITO</t>
  </si>
  <si>
    <t>Para el dimensionamiento del conductor es necesario calcular la corriente de cortocircuito que puede soportar el mismo. Para dicho cálculo se utiliza las siguientes ecuaciones obtenidas de la tabla 240.92(B) del NEC de 2020 (NFPA 70):</t>
  </si>
  <si>
    <t>9.1.1. Cálculo de cortocircuito en conductores de Cobre</t>
  </si>
  <si>
    <t>Ec.28</t>
  </si>
  <si>
    <t>9.1.2. Cálculo de cortocircuito en conductores de Aluminio</t>
  </si>
  <si>
    <t>Ec.29</t>
  </si>
  <si>
    <r>
      <rPr>
        <b/>
        <i/>
        <sz val="11"/>
        <rFont val="Arial"/>
        <family val="2"/>
      </rPr>
      <t>Icc.</t>
    </r>
    <r>
      <rPr>
        <sz val="11"/>
        <rFont val="Arial"/>
        <family val="2"/>
      </rPr>
      <t xml:space="preserve"> Corriente de falla que fluirá por el cable, [kA].</t>
    </r>
  </si>
  <si>
    <r>
      <rPr>
        <b/>
        <i/>
        <sz val="11"/>
        <rFont val="Arial"/>
        <family val="2"/>
      </rPr>
      <t>C</t>
    </r>
    <r>
      <rPr>
        <b/>
        <i/>
        <sz val="8"/>
        <rFont val="Arial"/>
        <family val="2"/>
      </rPr>
      <t>M</t>
    </r>
    <r>
      <rPr>
        <b/>
        <i/>
        <sz val="11"/>
        <rFont val="Arial"/>
        <family val="2"/>
      </rPr>
      <t xml:space="preserve">: </t>
    </r>
    <r>
      <rPr>
        <sz val="11"/>
        <rFont val="Arial"/>
        <family val="2"/>
      </rPr>
      <t>Área transversal del conductor, [kcmil].</t>
    </r>
  </si>
  <si>
    <r>
      <t xml:space="preserve">Kc: </t>
    </r>
    <r>
      <rPr>
        <sz val="11"/>
        <rFont val="Arial"/>
        <family val="2"/>
      </rPr>
      <t>Es la constante del material en cobre</t>
    </r>
    <r>
      <rPr>
        <b/>
        <i/>
        <sz val="11"/>
        <rFont val="Arial"/>
        <family val="2"/>
      </rPr>
      <t>.</t>
    </r>
    <r>
      <rPr>
        <sz val="11"/>
        <rFont val="Arial"/>
        <family val="2"/>
      </rPr>
      <t xml:space="preserve"> Kc = 0.0297</t>
    </r>
    <r>
      <rPr>
        <b/>
        <i/>
        <sz val="11"/>
        <rFont val="Arial"/>
        <family val="2"/>
      </rPr>
      <t>.</t>
    </r>
  </si>
  <si>
    <r>
      <t xml:space="preserve">Ka: </t>
    </r>
    <r>
      <rPr>
        <sz val="11"/>
        <rFont val="Arial"/>
        <family val="2"/>
      </rPr>
      <t>Es la constante del material en aluminio.</t>
    </r>
    <r>
      <rPr>
        <b/>
        <i/>
        <sz val="11"/>
        <rFont val="Arial"/>
        <family val="2"/>
      </rPr>
      <t xml:space="preserve"> </t>
    </r>
    <r>
      <rPr>
        <sz val="11"/>
        <rFont val="Arial"/>
        <family val="2"/>
      </rPr>
      <t>Ka = 0.0125.</t>
    </r>
  </si>
  <si>
    <r>
      <rPr>
        <b/>
        <i/>
        <sz val="11"/>
        <rFont val="Arial"/>
        <family val="2"/>
      </rPr>
      <t xml:space="preserve">Tf: </t>
    </r>
    <r>
      <rPr>
        <sz val="11"/>
        <rFont val="Arial"/>
        <family val="2"/>
      </rPr>
      <t>Temperatura final en estado de corto circuito, [°C].</t>
    </r>
  </si>
  <si>
    <r>
      <rPr>
        <b/>
        <i/>
        <sz val="11"/>
        <rFont val="Arial"/>
        <family val="2"/>
      </rPr>
      <t xml:space="preserve">To: </t>
    </r>
    <r>
      <rPr>
        <sz val="11"/>
        <rFont val="Arial"/>
        <family val="2"/>
      </rPr>
      <t>Temperatura máxima de operación del conductor, [°C].</t>
    </r>
  </si>
  <si>
    <r>
      <rPr>
        <b/>
        <i/>
        <sz val="11"/>
        <rFont val="Arial"/>
        <family val="2"/>
      </rPr>
      <t xml:space="preserve">t: </t>
    </r>
    <r>
      <rPr>
        <sz val="11"/>
        <rFont val="Arial"/>
        <family val="2"/>
      </rPr>
      <t>Tiempo de despeje de la falla, [ms].</t>
    </r>
  </si>
  <si>
    <t>9.2 VERIFICACIÓN DE DISPARO DE PROTECCIÓN</t>
  </si>
  <si>
    <t>La corriente de cortocircuito debe ser calculada teniendo en cuenta la resistencia del conductor de fase y del conductor de retorno de tierra , garantizando la zona de disparo instantáneo de la protección y así garantizar la selección del conductor de puesta a tierra según la tabla 250.122 del NEC de 2020 (NFPA 70), donde dicha corriente debe ser superior a 10*Ip.</t>
  </si>
  <si>
    <t>Ec.30</t>
  </si>
  <si>
    <r>
      <t xml:space="preserve">Ic: </t>
    </r>
    <r>
      <rPr>
        <sz val="11"/>
        <rFont val="Arial"/>
        <family val="2"/>
      </rPr>
      <t>Corriente de cortocircuito, [kA].</t>
    </r>
  </si>
  <si>
    <r>
      <rPr>
        <b/>
        <i/>
        <sz val="11"/>
        <rFont val="Arial"/>
        <family val="2"/>
      </rPr>
      <t xml:space="preserve">Vf: </t>
    </r>
    <r>
      <rPr>
        <sz val="11"/>
        <rFont val="Arial"/>
        <family val="2"/>
      </rPr>
      <t>Tensión nominal del conductor, [V].</t>
    </r>
  </si>
  <si>
    <r>
      <rPr>
        <b/>
        <i/>
        <sz val="11"/>
        <rFont val="Arial"/>
        <family val="2"/>
      </rPr>
      <t xml:space="preserve">Rc: </t>
    </r>
    <r>
      <rPr>
        <sz val="11"/>
        <rFont val="Arial"/>
        <family val="2"/>
      </rPr>
      <t>Resistencia c.a. aparente del conductor por unidad de longitud, [Ω/m].</t>
    </r>
  </si>
  <si>
    <r>
      <rPr>
        <b/>
        <i/>
        <sz val="11"/>
        <rFont val="Arial"/>
        <family val="2"/>
      </rPr>
      <t xml:space="preserve">RT: </t>
    </r>
    <r>
      <rPr>
        <sz val="11"/>
        <rFont val="Arial"/>
        <family val="2"/>
      </rPr>
      <t>Resistencia c.a. aparente del conductor de retorno (Tierra) por unidad de longitud, [Ω/m].</t>
    </r>
  </si>
  <si>
    <r>
      <rPr>
        <b/>
        <i/>
        <sz val="11"/>
        <rFont val="Arial"/>
        <family val="2"/>
      </rPr>
      <t xml:space="preserve">L: </t>
    </r>
    <r>
      <rPr>
        <sz val="11"/>
        <rFont val="Arial"/>
        <family val="2"/>
      </rPr>
      <t>Longitud del conductor de fase, [m].</t>
    </r>
  </si>
  <si>
    <r>
      <rPr>
        <b/>
        <i/>
        <sz val="11"/>
        <rFont val="Arial"/>
        <family val="2"/>
      </rPr>
      <t xml:space="preserve">Ip: </t>
    </r>
    <r>
      <rPr>
        <sz val="11"/>
        <rFont val="Arial"/>
        <family val="2"/>
      </rPr>
      <t>Corriente nominal de la protección.</t>
    </r>
  </si>
  <si>
    <t xml:space="preserve">Código: </t>
  </si>
  <si>
    <t xml:space="preserve"> </t>
  </si>
  <si>
    <t>CONTROL DEL DOCUMENTO</t>
  </si>
  <si>
    <t>NOMBRES Y APELLIDOS</t>
  </si>
  <si>
    <t>CARGO</t>
  </si>
  <si>
    <t>FIRMA</t>
  </si>
  <si>
    <t>FECHA</t>
  </si>
  <si>
    <t>ELABORA</t>
  </si>
  <si>
    <t>REVISA</t>
  </si>
  <si>
    <t>PROFESIONAL ELÉCTRICO SENIOR</t>
  </si>
  <si>
    <t>APRUEBA</t>
  </si>
  <si>
    <t>CONTROL DE CAMBIOS</t>
  </si>
  <si>
    <t>VERSIÓN</t>
  </si>
  <si>
    <t>DESCRIPCIÓN DEL CAMBIO</t>
  </si>
  <si>
    <t>QUIEN SOLICITÓ</t>
  </si>
  <si>
    <t>A0</t>
  </si>
  <si>
    <t>D0</t>
  </si>
  <si>
    <t>APROBADO PARA DISEÑO</t>
  </si>
  <si>
    <t>CABLE DE FASE EN COBRE</t>
  </si>
  <si>
    <t>CARACTERISTICAS CABLES DE FASE</t>
  </si>
  <si>
    <t>CARACTERISTICAS DE CANALIZACIONES</t>
  </si>
  <si>
    <t xml:space="preserve">PROTECCIÓN </t>
  </si>
  <si>
    <t>CABLE DE TIERRA</t>
  </si>
  <si>
    <t>CABLE DE NEUTRO</t>
  </si>
  <si>
    <t>C0</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</si>
  <si>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</si>
  <si>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</si>
  <si>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</si>
  <si>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</si>
  <si>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</si>
  <si>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</si>
  <si>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</si>
  <si>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</si>
  <si>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</si>
  <si>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</si>
  <si>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</si>
  <si>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</si>
  <si>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</si>
  <si>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</si>
  <si>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</si>
  <si>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</si>
  <si>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</si>
  <si>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</si>
  <si>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</si>
  <si>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</si>
  <si>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</si>
  <si>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</si>
  <si>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</si>
  <si>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</si>
  <si>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</si>
  <si>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</si>
  <si>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</si>
  <si>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</si>
  <si>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C31</t>
  </si>
  <si>
    <t>C32</t>
  </si>
  <si>
    <t>C33</t>
  </si>
  <si>
    <t>C34</t>
  </si>
  <si>
    <t>C35</t>
  </si>
  <si>
    <t>C36</t>
  </si>
  <si>
    <t>C37</t>
  </si>
  <si>
    <t>C38</t>
  </si>
  <si>
    <t>C39</t>
  </si>
  <si>
    <t>C40</t>
  </si>
  <si>
    <t>C41</t>
  </si>
  <si>
    <t>C42</t>
  </si>
  <si>
    <t>C43</t>
  </si>
  <si>
    <t>C44</t>
  </si>
  <si>
    <t>C45</t>
  </si>
  <si>
    <t>C46</t>
  </si>
  <si>
    <t>C47</t>
  </si>
  <si>
    <t>C48</t>
  </si>
  <si>
    <t>C49</t>
  </si>
  <si>
    <t>C51</t>
  </si>
  <si>
    <t>C52</t>
  </si>
  <si>
    <t>C53</t>
  </si>
  <si>
    <t>C54</t>
  </si>
  <si>
    <t>C55</t>
  </si>
  <si>
    <t>C56</t>
  </si>
  <si>
    <t>C57</t>
  </si>
  <si>
    <t>C58</t>
  </si>
  <si>
    <t>C59</t>
  </si>
  <si>
    <t>C60</t>
  </si>
  <si>
    <t>C61</t>
  </si>
  <si>
    <t>C62</t>
  </si>
  <si>
    <t>C63</t>
  </si>
  <si>
    <t>C64</t>
  </si>
  <si>
    <t>C65</t>
  </si>
  <si>
    <t>C66</t>
  </si>
  <si>
    <t>C67</t>
  </si>
  <si>
    <t>C68</t>
  </si>
  <si>
    <t>C69</t>
  </si>
  <si>
    <t>TAG
DEL EQUIPO</t>
  </si>
  <si>
    <t>SERVICIO
DEL EQUIPO</t>
  </si>
  <si>
    <t>ALIMENTACIÓN
DESDE</t>
  </si>
  <si>
    <t>LONGITUD CIRCUITO</t>
  </si>
  <si>
    <t>POTENCIA NOMINAL</t>
  </si>
  <si>
    <t>ALIMENTACIÓN</t>
  </si>
  <si>
    <t>FACTOR DE
POTENCIA   (fp)</t>
  </si>
  <si>
    <t>EFICIENCIA</t>
  </si>
  <si>
    <t>CORRIENTE A PLENA
CARGA (Ipc) O CORRIENTE
NOMINAL (In)</t>
  </si>
  <si>
    <t>CORRIENTE NOMINAL 
AL 125% - In*1,25
(NOTA 15)</t>
  </si>
  <si>
    <t>CORRIENTE DE ARRANQUE CON VARIADOR (MOTORES)</t>
  </si>
  <si>
    <t>CÁLCULO DE PROTECCIONES</t>
  </si>
  <si>
    <t>TIEMPO DESPEJE FALLA
[S]</t>
  </si>
  <si>
    <t>TIPO DE CONDUCTOR</t>
  </si>
  <si>
    <t>ARREGLO DE CABLES</t>
  </si>
  <si>
    <t>TAG CABLE</t>
  </si>
  <si>
    <t>CORRIENTE NOMINAL 
DEL CABLE
NTC 2050 SEGUNDA ACTUALIZACIÓN. TABLA 310.60 (C)</t>
  </si>
  <si>
    <t>CANALIZACIÓN</t>
  </si>
  <si>
    <t>DERRATEO CAPACIDAD TÉRMICA</t>
  </si>
  <si>
    <t>ΔV % (PERMITIDO EN
 MARCHA) PARCIAL</t>
  </si>
  <si>
    <t>ΔV % (PERMITIDO EN
 MARCHA) TOTAL</t>
  </si>
  <si>
    <t>FACTOR DE POTENCIA DE DISTORSIÓN ARMÓNICA</t>
  </si>
  <si>
    <t>CORRIENTE DE CORTO
MÁXIMA DEL
CONDUCTOR</t>
  </si>
  <si>
    <t>CALIBRE
 (AWG Ó kcmil)</t>
  </si>
  <si>
    <t>CONDUCTORES X FASE</t>
  </si>
  <si>
    <t>MONPOLAR
MULTICONDUCTOR
DESNUDO</t>
  </si>
  <si>
    <t>SI ES MULTICONDUCTOR, CUANTOS HILOS?</t>
  </si>
  <si>
    <t>MATERIAL DEL CONDUCTOR
Cu-Al</t>
  </si>
  <si>
    <t>AISLAMIENTO DEL CONDUCTOR</t>
  </si>
  <si>
    <t>BANCO</t>
  </si>
  <si>
    <t>BANDEJA PORTACABLE</t>
  </si>
  <si>
    <t>PORCENTAJE THDi</t>
  </si>
  <si>
    <t>CUANTAS ACOMETIDAS AGRUPADAS EN EL MISMO BANCO DE CONDUCTORES</t>
  </si>
  <si>
    <t>TIERRA PARA ACOMETIDAS</t>
  </si>
  <si>
    <r>
      <t xml:space="preserve">VERIFICACIÓN DE CORRIENTE (ZONA DE DISPARO INSTANTANEO) 
[V </t>
    </r>
    <r>
      <rPr>
        <b/>
        <sz val="8"/>
        <rFont val="Century Gothic"/>
        <family val="2"/>
      </rPr>
      <t>FN</t>
    </r>
    <r>
      <rPr>
        <b/>
        <sz val="10"/>
        <rFont val="Century Gothic"/>
        <family val="2"/>
      </rPr>
      <t xml:space="preserve"> / Rc + R</t>
    </r>
    <r>
      <rPr>
        <b/>
        <sz val="7"/>
        <rFont val="Century Gothic"/>
        <family val="2"/>
      </rPr>
      <t>T</t>
    </r>
    <r>
      <rPr>
        <b/>
        <sz val="10"/>
        <rFont val="Century Gothic"/>
        <family val="2"/>
      </rPr>
      <t>] &gt; 10 In</t>
    </r>
  </si>
  <si>
    <t>CANTIDAD DE CONDUCTORES
DE TIERRA</t>
  </si>
  <si>
    <t>CALIBRE DE TIERRA
AUTOMÁTICO O MANUAL
 (AWG Ó kcmil)</t>
  </si>
  <si>
    <t>CANTIDAD DE CONDUCTORES
DE NEUTRO</t>
  </si>
  <si>
    <t>CALIBRE DE NEUTRO
 (AWG Ó kcmil)</t>
  </si>
  <si>
    <t>CUMPLE CON:</t>
  </si>
  <si>
    <t>TIPO</t>
  </si>
  <si>
    <t>NÚMERO DE CONDUCTORES PORTADORES DE CORRIENTE
EN EL MISMO CONDUIT</t>
  </si>
  <si>
    <t>FACTOR DE CORRECCIÓN</t>
  </si>
  <si>
    <t>CORRIENTE</t>
  </si>
  <si>
    <t>REGULACIÓN</t>
  </si>
  <si>
    <t>TENSIÓN</t>
  </si>
  <si>
    <t>No.   DE FASES</t>
  </si>
  <si>
    <t>MÁXIMA CORRIENTE 
AL 250 % - In*2,5</t>
  </si>
  <si>
    <t xml:space="preserve">FUSIBLE O INTERRUPTOR </t>
  </si>
  <si>
    <t>POR
AGRUPAMIENTO
DE CONDUITS</t>
  </si>
  <si>
    <t xml:space="preserve">POR CARACTERÍSTICAS
DE BANDEJA Y ARREGLO
DE CONDUCTORES </t>
  </si>
  <si>
    <t>DIAMETRO
(mm)</t>
  </si>
  <si>
    <t>Icc 
 8 CICLOS (kA)</t>
  </si>
  <si>
    <t>Rac 
(Ohm / Km)</t>
  </si>
  <si>
    <t>Xac
(Ohm / Km)</t>
  </si>
  <si>
    <r>
      <t xml:space="preserve">CAPACIDAD TOTAL (A)
</t>
    </r>
    <r>
      <rPr>
        <b/>
        <i/>
        <sz val="10"/>
        <rFont val="Century Gothic"/>
        <family val="2"/>
      </rPr>
      <t>C22 x C343</t>
    </r>
  </si>
  <si>
    <r>
      <t xml:space="preserve">SÍ, CUANDO </t>
    </r>
    <r>
      <rPr>
        <b/>
        <i/>
        <sz val="10"/>
        <rFont val="Century Gothic"/>
        <family val="2"/>
      </rPr>
      <t>C33 ≥ C12</t>
    </r>
  </si>
  <si>
    <t>I&lt;=</t>
  </si>
  <si>
    <t>In x 1.15
ó
In x 1.25</t>
  </si>
  <si>
    <t>CONDUCTOR</t>
  </si>
  <si>
    <t>Entrar código
del cable</t>
  </si>
  <si>
    <r>
      <t xml:space="preserve">FACTOR POR AGRUPAMIENTO
(Fg)
DE CONDUITS (NOTA xx)
</t>
    </r>
    <r>
      <rPr>
        <b/>
        <sz val="20"/>
        <rFont val="Century Gothic"/>
        <family val="2"/>
      </rPr>
      <t>(No borrar ni editar
las celdas)</t>
    </r>
  </si>
  <si>
    <r>
      <t xml:space="preserve">FACTOR DE AJUSTE POR AGRUPAMIENTO DE CONDUITS
</t>
    </r>
    <r>
      <rPr>
        <b/>
        <sz val="20"/>
        <rFont val="Century Gothic"/>
        <family val="2"/>
      </rPr>
      <t>(No borrar ni editar
las celdas)</t>
    </r>
  </si>
  <si>
    <r>
      <t xml:space="preserve">FACTOR DE AJUSTE POR TEMPERATURA AMBIENTE
</t>
    </r>
    <r>
      <rPr>
        <b/>
        <sz val="20"/>
        <rFont val="Century Gothic"/>
        <family val="2"/>
      </rPr>
      <t>(No borrar ni editar
las celdas)</t>
    </r>
  </si>
  <si>
    <r>
      <t xml:space="preserve">CASILLA DE VERIFICACIÓN
</t>
    </r>
    <r>
      <rPr>
        <b/>
        <sz val="14"/>
        <rFont val="Century Gothic"/>
        <family val="2"/>
      </rPr>
      <t>NO BORRAR</t>
    </r>
  </si>
  <si>
    <t>TEMPERATURA DE OPERACIÓN</t>
  </si>
  <si>
    <t>(No borrar ni editar
las celdas)</t>
  </si>
  <si>
    <t>Número
 de filas</t>
  </si>
  <si>
    <t>Número
 de columnas</t>
  </si>
  <si>
    <t>Con tapa
o
Sin tapa</t>
  </si>
  <si>
    <t>Distancia de separación mínima entre conductores</t>
  </si>
  <si>
    <r>
      <t xml:space="preserve">MARCHA
SÍ, CUANDO </t>
    </r>
    <r>
      <rPr>
        <b/>
        <i/>
        <sz val="10"/>
        <rFont val="Century Gothic"/>
        <family val="2"/>
      </rPr>
      <t>C34 ≤ 3%</t>
    </r>
  </si>
  <si>
    <t>Cargabilidad</t>
  </si>
  <si>
    <t>BANDEJA</t>
  </si>
  <si>
    <t>TUBO</t>
  </si>
  <si>
    <t>[m]</t>
  </si>
  <si>
    <t>[V a.c.]</t>
  </si>
  <si>
    <t>[A]</t>
  </si>
  <si>
    <t>[kA]</t>
  </si>
  <si>
    <t>[%]</t>
  </si>
  <si>
    <t>CANTIDAD</t>
  </si>
  <si>
    <t xml:space="preserve"> CÁLCULO DE CABLES ELÉCTRICOS EN MEDIA TENSIÓN</t>
  </si>
  <si>
    <t>N/A</t>
  </si>
  <si>
    <t>COMENTARIO</t>
  </si>
  <si>
    <t>COMEN.</t>
  </si>
  <si>
    <t>1.1</t>
  </si>
  <si>
    <t>ALIMENTADOR 34,5 kV</t>
  </si>
  <si>
    <t>TRANSFORMADOR DE DISTRIBUCIÓN</t>
  </si>
  <si>
    <t>kVA</t>
  </si>
  <si>
    <t>BANCO DE DUCTOS</t>
  </si>
  <si>
    <t>26-30</t>
  </si>
  <si>
    <t>1/0 AWG</t>
  </si>
  <si>
    <t>Monopolar</t>
  </si>
  <si>
    <t>2/C  -</t>
  </si>
  <si>
    <t>Al</t>
  </si>
  <si>
    <t>EPR</t>
  </si>
  <si>
    <t>SIN TAPA</t>
  </si>
  <si>
    <t>Trafo Primario</t>
  </si>
  <si>
    <t>No</t>
  </si>
  <si>
    <t>ALIMENTADORES 4,2 kV</t>
  </si>
  <si>
    <t>HP</t>
  </si>
  <si>
    <t>p</t>
  </si>
  <si>
    <t>2 AWG</t>
  </si>
  <si>
    <t>Cable Armado</t>
  </si>
  <si>
    <t>Cu</t>
  </si>
  <si>
    <t>EPDM</t>
  </si>
  <si>
    <t>CON TAPA</t>
  </si>
  <si>
    <t>Motor</t>
  </si>
  <si>
    <t>VOLTAJE BT</t>
  </si>
  <si>
    <t>TEMPERATURA_MT</t>
  </si>
  <si>
    <t>PORC_AISLAMIENTO</t>
  </si>
  <si>
    <t>VOLTAJE MT</t>
  </si>
  <si>
    <t>Generador</t>
  </si>
  <si>
    <t>G</t>
  </si>
  <si>
    <t>AWG</t>
  </si>
  <si>
    <t>CABLE</t>
  </si>
  <si>
    <t># de Fases</t>
  </si>
  <si>
    <t>--</t>
  </si>
  <si>
    <t>1/C  -</t>
  </si>
  <si>
    <t>90ºC</t>
  </si>
  <si>
    <t>Transformador Solo Primario</t>
  </si>
  <si>
    <t>TP</t>
  </si>
  <si>
    <t>01</t>
  </si>
  <si>
    <t>EMT</t>
  </si>
  <si>
    <t>105ºC</t>
  </si>
  <si>
    <t>Transformador Primario y Secundario</t>
  </si>
  <si>
    <t>Trafo Primario - Secundario</t>
  </si>
  <si>
    <t>TPS</t>
  </si>
  <si>
    <t>02</t>
  </si>
  <si>
    <t>kW</t>
  </si>
  <si>
    <t>IMC</t>
  </si>
  <si>
    <t>3/C  -</t>
  </si>
  <si>
    <t>Protección del tablero despues del trafo</t>
  </si>
  <si>
    <t>Protección Tablero</t>
  </si>
  <si>
    <t>TS</t>
  </si>
  <si>
    <t>03</t>
  </si>
  <si>
    <t>RMC</t>
  </si>
  <si>
    <t>BLINDOBARRA</t>
  </si>
  <si>
    <t>4/C  -</t>
  </si>
  <si>
    <t>M</t>
  </si>
  <si>
    <t>04</t>
  </si>
  <si>
    <t>PVC</t>
  </si>
  <si>
    <t>AÉREO</t>
  </si>
  <si>
    <t>5/C  -</t>
  </si>
  <si>
    <t>Motor Alimentado por VFD</t>
  </si>
  <si>
    <t>Motor Alimentado de VFD</t>
  </si>
  <si>
    <t>MVFD</t>
  </si>
  <si>
    <t>05</t>
  </si>
  <si>
    <t>CONDUIT FLEXIBLE</t>
  </si>
  <si>
    <t>6/C  -</t>
  </si>
  <si>
    <t>Otra Carga</t>
  </si>
  <si>
    <t>OC</t>
  </si>
  <si>
    <t>06</t>
  </si>
  <si>
    <t>7/C  -</t>
  </si>
  <si>
    <t>Variador</t>
  </si>
  <si>
    <t>1/0</t>
  </si>
  <si>
    <t>07</t>
  </si>
  <si>
    <t>8/C  -</t>
  </si>
  <si>
    <t>2/0</t>
  </si>
  <si>
    <t>08</t>
  </si>
  <si>
    <t>9/C  -</t>
  </si>
  <si>
    <t>3/0</t>
  </si>
  <si>
    <t>09</t>
  </si>
  <si>
    <t>10/C  -</t>
  </si>
  <si>
    <t>4/0</t>
  </si>
  <si>
    <t>10</t>
  </si>
  <si>
    <t>12/C  -</t>
  </si>
  <si>
    <t>TEMPERATURA DE AISLAMIENTO</t>
  </si>
  <si>
    <t>14/C  -</t>
  </si>
  <si>
    <t>60°C</t>
  </si>
  <si>
    <t>AGREGAR EN ROJO</t>
  </si>
  <si>
    <t>19/C  -</t>
  </si>
  <si>
    <t>75°C</t>
  </si>
  <si>
    <t>24/C  -</t>
  </si>
  <si>
    <t>90°C</t>
  </si>
  <si>
    <t>30/C  -</t>
  </si>
  <si>
    <t>BT</t>
  </si>
  <si>
    <t>MT-CABLE 90°</t>
  </si>
  <si>
    <t>MT-CABLE 105°</t>
  </si>
  <si>
    <t>37/C  -</t>
  </si>
  <si>
    <t>Factores de corrección por temperatura Table 310.15(B)(2)(a) Ambient Temperature Correction
Factors Based on 30°C (86°F) NEC2017</t>
  </si>
  <si>
    <t>Factores de corrección por temperatura Table 310.60(C)(4) Ambient Temperature Correction
Factors Based on 40°C (104°F) NEC2017</t>
  </si>
  <si>
    <t>Temp. Amb. (ºC)</t>
  </si>
  <si>
    <t>Factor de Corrección</t>
  </si>
  <si>
    <t>&lt;10</t>
  </si>
  <si>
    <t>MT</t>
  </si>
  <si>
    <t>11-15</t>
  </si>
  <si>
    <t>16-20</t>
  </si>
  <si>
    <t>DESNUDO</t>
  </si>
  <si>
    <t>21-25</t>
  </si>
  <si>
    <t>ACSR</t>
  </si>
  <si>
    <t>TW</t>
  </si>
  <si>
    <t>XHHW</t>
  </si>
  <si>
    <t>XLPE</t>
  </si>
  <si>
    <t>31-35</t>
  </si>
  <si>
    <t>UF</t>
  </si>
  <si>
    <t>THWN</t>
  </si>
  <si>
    <t>THWN-2</t>
  </si>
  <si>
    <t>36-40</t>
  </si>
  <si>
    <t>THHW</t>
  </si>
  <si>
    <t>41-45</t>
  </si>
  <si>
    <t>RHW</t>
  </si>
  <si>
    <t>THHN</t>
  </si>
  <si>
    <t>46-50</t>
  </si>
  <si>
    <t>51-55</t>
  </si>
  <si>
    <t>USE</t>
  </si>
  <si>
    <t>XHH</t>
  </si>
  <si>
    <t>56-60</t>
  </si>
  <si>
    <t>ZW</t>
  </si>
  <si>
    <t>USE-2</t>
  </si>
  <si>
    <t>61-65</t>
  </si>
  <si>
    <t>ZW-2</t>
  </si>
  <si>
    <t>66-70</t>
  </si>
  <si>
    <t>THW-2</t>
  </si>
  <si>
    <t>71-75</t>
  </si>
  <si>
    <t>RHH</t>
  </si>
  <si>
    <t>76-80</t>
  </si>
  <si>
    <t>RHW-2</t>
  </si>
  <si>
    <t>81-85</t>
  </si>
  <si>
    <t>FEPB</t>
  </si>
  <si>
    <t>86-90</t>
  </si>
  <si>
    <t>MI</t>
  </si>
  <si>
    <t>91-95</t>
  </si>
  <si>
    <t>SIS</t>
  </si>
  <si>
    <t>96-100</t>
  </si>
  <si>
    <t>XLPE-SR</t>
  </si>
  <si>
    <t>TBS</t>
  </si>
  <si>
    <t>CORRIENTE DE ARRANQUE DIRECTO (MOTORES)</t>
  </si>
  <si>
    <t>8*In</t>
  </si>
  <si>
    <t>CORRIENTE DE ARRANCADOR SUAVE (MOTORES)</t>
  </si>
  <si>
    <t>6*In</t>
  </si>
  <si>
    <t>CORRIENTE DE ARRANQUE  Δ-Y (MOTORES)</t>
  </si>
  <si>
    <t>3*In</t>
  </si>
  <si>
    <t>2*In</t>
  </si>
  <si>
    <t>TIPO DE CARGA A ALIMENTAR</t>
  </si>
  <si>
    <t>RESISTENCIA ELÉCTRICA DEL CONDUCTOR A 20°C</t>
  </si>
  <si>
    <t>TRANSFORMADOR EN ACEITE</t>
  </si>
  <si>
    <t>TRANSFORMADOR SECO</t>
  </si>
  <si>
    <t>GENERADOR</t>
  </si>
  <si>
    <t>TABLERO</t>
  </si>
  <si>
    <t>CCM</t>
  </si>
  <si>
    <t>COEFICIENTE DE TEMPERATURA DE RESISTIVIDAD DEL CONDUCTOR</t>
  </si>
  <si>
    <t>SWITCHGEAR</t>
  </si>
  <si>
    <t>MOTOR</t>
  </si>
  <si>
    <t>PLC</t>
  </si>
  <si>
    <t>RESISTIVIDAD ELÉCTRICA DEL CONDUCTOR A 20°C SEGÚN CRITERIOS IEC 60287-3-2</t>
  </si>
  <si>
    <t>ILUMINACIÓN</t>
  </si>
  <si>
    <t>TOMAS</t>
  </si>
  <si>
    <t>FILTRO</t>
  </si>
  <si>
    <t>RESISTENCIA DE C.</t>
  </si>
  <si>
    <t>CAJA DE VENTEO</t>
  </si>
  <si>
    <r>
      <rPr>
        <b/>
        <sz val="10"/>
        <rFont val="Arial"/>
        <family val="2"/>
      </rPr>
      <t>Tabla 1.</t>
    </r>
    <r>
      <rPr>
        <sz val="10"/>
        <rFont val="Arial"/>
        <family val="2"/>
      </rPr>
      <t xml:space="preserve"> Transformadores trifásicos secos de 15 kVA a 2000 kVA. Serie AT ≤ 15 kV, serie BT ≤ 1,2 kV valores máximos declarados permitidos de corriente sin carga (Io), pérdidas sin carga (Po), pérdidas totales (Pt) y tensión de cortocircuito Uz a las temperaturas de referencia, de acuerdo con la clase de aislamiento. </t>
    </r>
    <r>
      <rPr>
        <b/>
        <sz val="10"/>
        <rFont val="Arial"/>
        <family val="2"/>
      </rPr>
      <t>NTC 3445.</t>
    </r>
  </si>
  <si>
    <t>POTENCIA NOMINAL [kVA]</t>
  </si>
  <si>
    <t>Pt [75°C]</t>
  </si>
  <si>
    <t>Pt [85°C]</t>
  </si>
  <si>
    <t>Pt [100°C]</t>
  </si>
  <si>
    <t>Pt [120°C]</t>
  </si>
  <si>
    <t>Pt [145°C]</t>
  </si>
  <si>
    <t>Pt [155°C]</t>
  </si>
  <si>
    <t>Pt [175°C]</t>
  </si>
  <si>
    <t>Uz [%]</t>
  </si>
  <si>
    <t>CLASE DE AISLMIENIENTO</t>
  </si>
  <si>
    <t>E</t>
  </si>
  <si>
    <t>H</t>
  </si>
  <si>
    <t>C</t>
  </si>
  <si>
    <t>85°C</t>
  </si>
  <si>
    <t>100°C</t>
  </si>
  <si>
    <t>120°C</t>
  </si>
  <si>
    <t>145°C</t>
  </si>
  <si>
    <t>155°C</t>
  </si>
  <si>
    <t>175°C</t>
  </si>
  <si>
    <r>
      <rPr>
        <b/>
        <sz val="10"/>
        <rFont val="Arial"/>
        <family val="2"/>
      </rPr>
      <t xml:space="preserve">Tabla 2. </t>
    </r>
    <r>
      <rPr>
        <sz val="10"/>
        <rFont val="Arial"/>
        <family val="2"/>
      </rPr>
      <t xml:space="preserve">Transformadores trifásicos secos de 10 kVA a 1000 kVA. Serie AT ≤ 1,2 kV, serie BT ≤ 1,2 kV. Valores máximos declarados permitidos de corriente sin carga (Io), pérdidas sin carga (Po), pérdidas totales (Pt) y tensión de cortocircuito Uz a las temperaturas de referencia, de acuerdo con la clase de aislamiento. </t>
    </r>
    <r>
      <rPr>
        <b/>
        <sz val="10"/>
        <rFont val="Arial"/>
        <family val="2"/>
      </rPr>
      <t>NTC 3445.</t>
    </r>
  </si>
  <si>
    <t>CABLES</t>
  </si>
  <si>
    <t xml:space="preserve">NIVEL DE TENSIÓN </t>
  </si>
  <si>
    <t>POTENCIA</t>
  </si>
  <si>
    <t>CONTROL ELÉCTRICO</t>
  </si>
  <si>
    <t>ALUMBRADO</t>
  </si>
  <si>
    <t>R</t>
  </si>
  <si>
    <t>RTD EN MOTORES ELÉCTRICOS</t>
  </si>
  <si>
    <t>CALENTADOR DE AMBIENTE EN GABINETES</t>
  </si>
  <si>
    <t>MEDIDA (PARA CT Y PT)</t>
  </si>
  <si>
    <t>SISTEMA ELÉCTRICO</t>
  </si>
  <si>
    <t>MONOFÁSICO BIFILAR (F+N)</t>
  </si>
  <si>
    <t>MONOFÁSICO TRIFILAR (F+N+G)</t>
  </si>
  <si>
    <t>BIFASICO BIFILAR (F+F)</t>
  </si>
  <si>
    <t>BIFÁSICO TRIFILAR (F+F+G)</t>
  </si>
  <si>
    <t>TRIFÁSICO TRIFILAR (F+F+F)</t>
  </si>
  <si>
    <t>TRIFÁSICO TETRAFILAR (F+F+F+G)</t>
  </si>
  <si>
    <t>CORRIENTE CONTINUA (POS+NEG)</t>
  </si>
  <si>
    <t>BIFÁSICO TETRAFILAR (F+F+N+G)</t>
  </si>
  <si>
    <t>TRIFÁSICO PENTAFILAR (F+F+F+N+G)</t>
  </si>
  <si>
    <t>mm</t>
  </si>
  <si>
    <t>mm2</t>
  </si>
  <si>
    <t>14, 600 V 90°C XHHN-2</t>
  </si>
  <si>
    <t>CENTELSA_BT</t>
  </si>
  <si>
    <t>12 AWG</t>
  </si>
  <si>
    <t>12, 600 V 90°C XHHN-2</t>
  </si>
  <si>
    <t>10 AWG</t>
  </si>
  <si>
    <t>10, 600 V 90°C XHHN-2</t>
  </si>
  <si>
    <t>8 AWG</t>
  </si>
  <si>
    <t>8, 600 V 90°C XHHN-2</t>
  </si>
  <si>
    <t>6 AWG</t>
  </si>
  <si>
    <t>6, 600 V 90°C XHHN-2</t>
  </si>
  <si>
    <t>4 AWG</t>
  </si>
  <si>
    <t>4, 600 V 90°C XHHN-2</t>
  </si>
  <si>
    <t>2, 600 V 90°C XHHN-2</t>
  </si>
  <si>
    <t>1/0, 600 V 90°C XHHN-2</t>
  </si>
  <si>
    <t>2/0 AWG</t>
  </si>
  <si>
    <t>2/0, 600 V 90°C XHHN-2</t>
  </si>
  <si>
    <t>3/0 AWG</t>
  </si>
  <si>
    <t>3/0, 600 V 90°C XHHN-2</t>
  </si>
  <si>
    <t>4/0 AWG</t>
  </si>
  <si>
    <t>4/0, 600 V 90°C XHHN-2</t>
  </si>
  <si>
    <t>250 mcm</t>
  </si>
  <si>
    <t>250, 600 V 90°C XHHN-2</t>
  </si>
  <si>
    <t>300, 600 V 90°C XHHN-2</t>
  </si>
  <si>
    <t>350 mcm</t>
  </si>
  <si>
    <t>350, 600 V 90°C XHHN-2</t>
  </si>
  <si>
    <t>400, 600 V 90°C XHHN-2</t>
  </si>
  <si>
    <t>500 mcm</t>
  </si>
  <si>
    <t>500, 600 V 90°C XHHN-2</t>
  </si>
  <si>
    <t>600, 600 V 90°C XHHN-2</t>
  </si>
  <si>
    <t>750 mcm</t>
  </si>
  <si>
    <t>1000 mcm</t>
  </si>
  <si>
    <t>14 x 2, 600 V 90°C THHN/THWN</t>
  </si>
  <si>
    <t>14 x 3, 600 V 90°C THHN/THWN</t>
  </si>
  <si>
    <t>14 x 4, 600 V 90°C THHN/THWN</t>
  </si>
  <si>
    <t>12 x 2, 600 V 90°C THHN/THWN</t>
  </si>
  <si>
    <t>12 x 3, 600 V 90°C THHN/THWN</t>
  </si>
  <si>
    <t>12 x 4, 600 V 90°C THHN/THWN</t>
  </si>
  <si>
    <t>10 x 2, 600 V 90°C THHN/THWN</t>
  </si>
  <si>
    <t>10 x 3, 600 V 90°C THHN/THWN</t>
  </si>
  <si>
    <t>10 x 4, 600 V 90°C THHN/THWN</t>
  </si>
  <si>
    <t>8 x 2, 600 V 90°C THHN/THWN</t>
  </si>
  <si>
    <t>8 x 3, 600 V 90°C THHN/THWN</t>
  </si>
  <si>
    <t>8 x 4, 600 V 90°C THHN/THWN</t>
  </si>
  <si>
    <t>6 x 2, 600 V 90°C THHN/THWN</t>
  </si>
  <si>
    <t>6 x 3, 600 V 90°C THHN/THWN</t>
  </si>
  <si>
    <t>6 x 4, 600 V 90°C THHN/THWN</t>
  </si>
  <si>
    <t>4 x 2, 600 V 90°C THHN/THWN</t>
  </si>
  <si>
    <t>4 x 3, 600 V 90°C THHN/THWN</t>
  </si>
  <si>
    <t>4 x 4, 600 V 90°C THHN/THWN</t>
  </si>
  <si>
    <t>2 x 2, 600 V 90°C THHN/THWN</t>
  </si>
  <si>
    <t>2 x 3, 600 V 90°C THHN/THWN</t>
  </si>
  <si>
    <t>2 x 4, 600 V 90°C THHN/THWN</t>
  </si>
  <si>
    <t>1/0 x 2, 600 V 90°C THHN/THWN</t>
  </si>
  <si>
    <t>1/0 x 3, 600 V 90°C THHN/THWN</t>
  </si>
  <si>
    <t>1/0 x 4, 600 V 90°C THHN/THWN</t>
  </si>
  <si>
    <t>2/0 x 2, 600 V 90°C THHN/THWN</t>
  </si>
  <si>
    <t>2/0 x 3, 600 V 90°C THHN/THWN</t>
  </si>
  <si>
    <t>2/0 x 4, 600 V 90°C THHN/THWN</t>
  </si>
  <si>
    <t>3/0 x 2, 600 V 90°C THHN/THWN</t>
  </si>
  <si>
    <t>3/0 x 3, 600 V 90°C THHN/THWN</t>
  </si>
  <si>
    <t>3/0 x 4, 600 V 90°C THHN/THWN</t>
  </si>
  <si>
    <t>4/0 x 2, 600 V 90°C THHN/THWN</t>
  </si>
  <si>
    <t>4/0 x 3, 600 V 90°C THHN/THWN</t>
  </si>
  <si>
    <t>4/0 x 4, 600 V 90°C THHN/THWN</t>
  </si>
  <si>
    <t>Indicar cable</t>
  </si>
  <si>
    <t>8 - 5 kV,  90°C, 100%</t>
  </si>
  <si>
    <t>CENTELSA_MT_5_KV_100</t>
  </si>
  <si>
    <t>6 - 5 kV,  90°C, 100%</t>
  </si>
  <si>
    <t>4 - 5 kV,  90°C, 100%</t>
  </si>
  <si>
    <t>2 - 5 kV,  90°C, 100%</t>
  </si>
  <si>
    <t>1/0 - 5 kV,  90°C, 100%</t>
  </si>
  <si>
    <t>2/0 - 5 kV,  90°C, 100%</t>
  </si>
  <si>
    <t>3/0 - 5 kV,  90°C, 100%</t>
  </si>
  <si>
    <t>4/0 - 5 kV,  90°C, 100%</t>
  </si>
  <si>
    <t>250 - 5 kV,  90°C, 100%</t>
  </si>
  <si>
    <t>350 - 5 kV,  90°C, 100%</t>
  </si>
  <si>
    <t>500 - 5 kV,  90°C, 100%</t>
  </si>
  <si>
    <t>750 - 5 kV,  90°C, 100%</t>
  </si>
  <si>
    <t>1000 - 5 kV,  90°C, 100%</t>
  </si>
  <si>
    <t>8 - 5 kV,  90°C, 133%</t>
  </si>
  <si>
    <t>CENTELSA_MT_5_KV_133</t>
  </si>
  <si>
    <t>6 - 5 kV,  90°C, 133%</t>
  </si>
  <si>
    <t>4 - 5 kV,  90°C, 133%</t>
  </si>
  <si>
    <t>2 - 5 kV,  90°C, 133%</t>
  </si>
  <si>
    <t>1/0 - 5 kV,  90°C, 133%</t>
  </si>
  <si>
    <t>2/0 - 5 kV,  90°C, 133%</t>
  </si>
  <si>
    <t>3/0 - 5 kV,  90°C, 133%</t>
  </si>
  <si>
    <t>4/0 - 5 kV,  90°C, 133%</t>
  </si>
  <si>
    <t>250 - 5 kV,  90°C, 133%</t>
  </si>
  <si>
    <t>350 - 5 kV,  90°C, 133%</t>
  </si>
  <si>
    <t>500 - 5 kV,  90°C, 133%</t>
  </si>
  <si>
    <t>750 - 5 kV,  90°C, 133%</t>
  </si>
  <si>
    <t>1000 - 5 kV,  90°C, 133%</t>
  </si>
  <si>
    <t>2 - 15 kV,  90°C, 100%</t>
  </si>
  <si>
    <t>CENTELSA_MT_15_KV_100</t>
  </si>
  <si>
    <t>1/0 - 15 kV,  90°C, 100%</t>
  </si>
  <si>
    <t>2/0 - 15 kV,  90°C, 100%</t>
  </si>
  <si>
    <t>3/0 - 15 kV,  90°C, 100%</t>
  </si>
  <si>
    <t>4/0 - 15 kV,  90°C, 100%</t>
  </si>
  <si>
    <t>250 - 15 kV,  90°C, 100%</t>
  </si>
  <si>
    <t>350 - 15 kV,  90°C, 100%</t>
  </si>
  <si>
    <t>500 - 15 kV,  90°C, 100%</t>
  </si>
  <si>
    <t>750 - 15 kV,  90°C, 100%</t>
  </si>
  <si>
    <t>1000 - 15 kV,  90°C, 100%</t>
  </si>
  <si>
    <t>2 - 15 kV,  90°C, 133%</t>
  </si>
  <si>
    <t>CENTELSA_MT_15_KV_133</t>
  </si>
  <si>
    <t>1/0 - 15 kV,  90°C, 133%</t>
  </si>
  <si>
    <t>2/0 - 15 kV,  90°C, 133%</t>
  </si>
  <si>
    <t>3/0 - 15 kV,  90°C, 133%</t>
  </si>
  <si>
    <t>4/0 - 15 kV,  90°C, 133%</t>
  </si>
  <si>
    <t>250 - 15 kV,  90°C, 133%</t>
  </si>
  <si>
    <t>350 - 15 kV,  90°C, 133%</t>
  </si>
  <si>
    <t>500 - 15 kV,  90°C, 133%</t>
  </si>
  <si>
    <t>750 - 15 kV,  90°C, 133%</t>
  </si>
  <si>
    <t>1000 - 15 kV,  90°C, 133%</t>
  </si>
  <si>
    <t>1/0 - 35 kV,  90°C, 100%</t>
  </si>
  <si>
    <t>CENTELSA_MT_35_KV_100</t>
  </si>
  <si>
    <t>2/0 - 35 kV,  90°C, 100%</t>
  </si>
  <si>
    <t>3/0 - 35 kV,  90°C, 100%</t>
  </si>
  <si>
    <t>4/0 - 35 kV,  90°C, 100%</t>
  </si>
  <si>
    <t>250 - 35 kV,  90°C, 100%</t>
  </si>
  <si>
    <t>350 - 35 kV,  90°C, 100%</t>
  </si>
  <si>
    <t>500 - 35 kV,  90°C, 100%</t>
  </si>
  <si>
    <t>750 - 35 kV,  90°C, 100%</t>
  </si>
  <si>
    <t>1000 - 35 kV,  90°C, 100%</t>
  </si>
  <si>
    <t>1/0 - 35 kV,  90°C, 133%</t>
  </si>
  <si>
    <t>CENTELSA_MT_35_KV_133</t>
  </si>
  <si>
    <t>2/0 - 35 kV,  90°C, 133%</t>
  </si>
  <si>
    <t>3/0 - 35 kV,  90°C, 133%</t>
  </si>
  <si>
    <t>4/0 - 35 kV,  90°C, 133%</t>
  </si>
  <si>
    <t>250 - 35 kV,  90°C, 133%</t>
  </si>
  <si>
    <t>350 - 35 kV,  90°C, 133%</t>
  </si>
  <si>
    <t>500 - 35 kV,  90°C, 133%</t>
  </si>
  <si>
    <t>750 - 35 kV,  90°C, 133%</t>
  </si>
  <si>
    <t>1000 - 35 kV,  90°C, 133%</t>
  </si>
  <si>
    <t>CABLE CENTELSA DESNUDO ACSR</t>
  </si>
  <si>
    <t>Código del Cable</t>
  </si>
  <si>
    <t>(AWG o Kcmil)</t>
  </si>
  <si>
    <t>Número de Hilos</t>
  </si>
  <si>
    <t xml:space="preserve">Diametro Aproximado </t>
  </si>
  <si>
    <t>Áerea</t>
  </si>
  <si>
    <t>IMPEDANCIA Cu</t>
  </si>
  <si>
    <t>IMPEDANCIA Al</t>
  </si>
  <si>
    <t>Cu 90°C - Temperatura Ambiente 40°C</t>
  </si>
  <si>
    <t>Al 90°C - Temperatura Ambiente 40°C</t>
  </si>
  <si>
    <t>Icc 8 ciclos</t>
  </si>
  <si>
    <t xml:space="preserve">ESPESOR DEL AISLAMIENTO </t>
  </si>
  <si>
    <t>mm²</t>
  </si>
  <si>
    <t>XL</t>
  </si>
  <si>
    <t>TABLA 310.60 (C) (68)</t>
  </si>
  <si>
    <t>266.8 kcmil</t>
  </si>
  <si>
    <t>300.0 kcmil</t>
  </si>
  <si>
    <t>336.4 kcmil</t>
  </si>
  <si>
    <t>397.5 kcmil</t>
  </si>
  <si>
    <t>477.0 kcmil</t>
  </si>
  <si>
    <t>CABLE CENTELSA MONOPOLAR MV-90 133% 5kV</t>
  </si>
  <si>
    <t>DIAMETROS CABLES VFD</t>
  </si>
  <si>
    <t>ÁREA CABLES VFD</t>
  </si>
  <si>
    <t>TIERRA CABLES VFD</t>
  </si>
  <si>
    <t>TABLA 311.60 (77) CANALIZACIÓN</t>
  </si>
  <si>
    <t>TABLA 311.60 (69) AIRE LIBRE</t>
  </si>
  <si>
    <t>VALIDAR TABLA B 310.20</t>
  </si>
  <si>
    <t>TABLA 311.60 (78) CANALIZACIÓN</t>
  </si>
  <si>
    <t>TABLA 311.60 (70) AIRE LIBRE</t>
  </si>
  <si>
    <t>250 kcmil</t>
  </si>
  <si>
    <t>350 kcmil</t>
  </si>
  <si>
    <t>500 kcmil</t>
  </si>
  <si>
    <t>750 kcmil</t>
  </si>
  <si>
    <t>1000 kcmil</t>
  </si>
  <si>
    <t>CABLE CENTELSA MONOPOLAR MV-90 133% 15kV</t>
  </si>
  <si>
    <t>CABLE CENTELSA MONOPOLAR MV-90 133% 35kV</t>
  </si>
  <si>
    <t>FUSIBLES MT ET501 CODENSA</t>
  </si>
  <si>
    <t xml:space="preserve">AGRUPAMIENTO </t>
  </si>
  <si>
    <t>11,4 kV - 13,2 kV</t>
  </si>
  <si>
    <t>34,5 kV</t>
  </si>
  <si>
    <t>TIPO H</t>
  </si>
  <si>
    <t>TIPO T</t>
  </si>
  <si>
    <t>TIPO K</t>
  </si>
  <si>
    <t>6&gt;</t>
  </si>
  <si>
    <t>CANALIZACIONES DE 1 TUBO</t>
  </si>
  <si>
    <t>Diametro aproximado parte mas ancha</t>
  </si>
  <si>
    <t>Area Aproximada</t>
  </si>
  <si>
    <t>Cu 105°C</t>
  </si>
  <si>
    <t>Al 105°C</t>
  </si>
  <si>
    <t>TABLA 311.60 (79) CANALIZACIÓN</t>
  </si>
  <si>
    <t>TABLA 311.60 (80) CANALIZACIÓN</t>
  </si>
  <si>
    <t>DETALLE 1</t>
  </si>
  <si>
    <t>1 AWG</t>
  </si>
  <si>
    <t>CANALIZACIONES MÁXIMO 3 TUBOS</t>
  </si>
  <si>
    <t>DETALLE 2</t>
  </si>
  <si>
    <t>CANALIZACIONES 6 TUBOS O MÁS</t>
  </si>
  <si>
    <t>DETALLE 3</t>
  </si>
  <si>
    <t>TABLA 311.60(D)(4)</t>
  </si>
  <si>
    <t>TEMPERATURA DEL AISLAMIENTO DEL CONDUCTOR</t>
  </si>
  <si>
    <t>CABLE PARA NEUTRO</t>
  </si>
  <si>
    <t>CABLE DE FUERZA PARA EL OTRO MATERIAL ESCOGIDO</t>
  </si>
  <si>
    <t>OCULTAR</t>
  </si>
  <si>
    <t>C29</t>
  </si>
  <si>
    <t>C30</t>
  </si>
  <si>
    <t>C50</t>
  </si>
  <si>
    <t>C70</t>
  </si>
  <si>
    <t>C71</t>
  </si>
  <si>
    <t>C72</t>
  </si>
  <si>
    <t>C73</t>
  </si>
  <si>
    <t>C74</t>
  </si>
  <si>
    <t>C75</t>
  </si>
  <si>
    <t>C76</t>
  </si>
  <si>
    <t>C77</t>
  </si>
  <si>
    <t>C78</t>
  </si>
  <si>
    <t>C79</t>
  </si>
  <si>
    <t>C80</t>
  </si>
  <si>
    <t>TAG
DEL EQUIPO Ó SERVICIO</t>
  </si>
  <si>
    <t>DESCRIPCIÓN DEL CONDUCTOR</t>
  </si>
  <si>
    <t>POTENCIA PARA CÁLCULO DE CABLES</t>
  </si>
  <si>
    <t>FACTOR DE
POTENCIA (fp)</t>
  </si>
  <si>
    <t>CÁLCULO PROTECCIONES</t>
  </si>
  <si>
    <t xml:space="preserve">TIPO DE CONDUCTOR
</t>
  </si>
  <si>
    <t>ARREGLO DE 
CABLES</t>
  </si>
  <si>
    <t>CORRIENTE NOMINAL 
DEL CABLE
A 30ºC</t>
  </si>
  <si>
    <t>VERIFICACIÓN DE CONDUCTORES CON TIEMPO DE DISPARO DE INTERRUPTORES ¿CUMPLE?</t>
  </si>
  <si>
    <t>VERIFICACIÓN DE CONDUCTORES POR CORTOCIRCUITO ¿CUMPLE?</t>
  </si>
  <si>
    <t>CORRIENTE DE CORTO ASOCIADA 
A LA BARRA CONECTADO</t>
  </si>
  <si>
    <t>MONPOLAR 
/
MULTICONDUCTOR</t>
  </si>
  <si>
    <t>MATERIAL DEL CONDUCTOR
Cu - Al</t>
  </si>
  <si>
    <t xml:space="preserve">TIPO DE CARGA PARA SELECCIONAR PROTECCIÓN </t>
  </si>
  <si>
    <r>
      <t xml:space="preserve">VERIFICACIÓN DE CORRIENTE (ZONA DE DISPARO INSTANTANEO) 
[ V </t>
    </r>
    <r>
      <rPr>
        <b/>
        <sz val="8"/>
        <rFont val="Arial"/>
        <family val="2"/>
      </rPr>
      <t>FN</t>
    </r>
    <r>
      <rPr>
        <b/>
        <sz val="10"/>
        <rFont val="Arial"/>
        <family val="2"/>
      </rPr>
      <t xml:space="preserve"> / Rc + R </t>
    </r>
    <r>
      <rPr>
        <b/>
        <sz val="7"/>
        <rFont val="Arial"/>
        <family val="2"/>
      </rPr>
      <t xml:space="preserve">T </t>
    </r>
    <r>
      <rPr>
        <b/>
        <sz val="10"/>
        <rFont val="Arial"/>
        <family val="2"/>
      </rPr>
      <t>] &gt; 10 In</t>
    </r>
  </si>
  <si>
    <t>CANTIDAD DE CONDUCTORES
DE TIERRA POR CANALIZACIÓN</t>
  </si>
  <si>
    <t>NEUTRO PARA ACOMETIDAS</t>
  </si>
  <si>
    <t>NO BORRAR NI EDITAR</t>
  </si>
  <si>
    <t>Termomagnética</t>
  </si>
  <si>
    <r>
      <t>VERIFICACIÓN ZONA DE DISPARO INSTANTÁNEO DE LA PROTECCIÓN
[ V</t>
    </r>
    <r>
      <rPr>
        <b/>
        <vertAlign val="subscript"/>
        <sz val="11"/>
        <color rgb="FF000000"/>
        <rFont val="Century Gothic"/>
        <family val="2"/>
      </rPr>
      <t>FN</t>
    </r>
    <r>
      <rPr>
        <b/>
        <sz val="11"/>
        <color indexed="8"/>
        <rFont val="Century Gothic"/>
        <family val="2"/>
      </rPr>
      <t xml:space="preserve"> </t>
    </r>
    <r>
      <rPr>
        <b/>
        <sz val="11"/>
        <color rgb="FF000000"/>
        <rFont val="Century Gothic"/>
        <family val="2"/>
      </rPr>
      <t>/</t>
    </r>
    <r>
      <rPr>
        <b/>
        <sz val="11"/>
        <color indexed="8"/>
        <rFont val="Century Gothic"/>
        <family val="2"/>
      </rPr>
      <t xml:space="preserve"> R </t>
    </r>
    <r>
      <rPr>
        <b/>
        <vertAlign val="subscript"/>
        <sz val="11"/>
        <color rgb="FF000000"/>
        <rFont val="Century Gothic"/>
        <family val="2"/>
      </rPr>
      <t>C</t>
    </r>
    <r>
      <rPr>
        <b/>
        <sz val="11"/>
        <color indexed="8"/>
        <rFont val="Century Gothic"/>
        <family val="2"/>
      </rPr>
      <t xml:space="preserve"> + R </t>
    </r>
    <r>
      <rPr>
        <b/>
        <vertAlign val="subscript"/>
        <sz val="11"/>
        <color rgb="FF000000"/>
        <rFont val="Century Gothic"/>
        <family val="2"/>
      </rPr>
      <t>T</t>
    </r>
    <r>
      <rPr>
        <b/>
        <sz val="11"/>
        <color indexed="8"/>
        <rFont val="Century Gothic"/>
        <family val="2"/>
      </rPr>
      <t xml:space="preserve"> ] &gt; 10 Inp</t>
    </r>
  </si>
  <si>
    <t>NÚMERO DE CABLES PORTADORES DE CORRIENTE EN EL MISMO CONDUIT</t>
  </si>
  <si>
    <t>NOMBRE DEL EQUIPO O NODO A ALIMENTAR
(DESTINO DEL CONDUCTOR)</t>
  </si>
  <si>
    <t>NOMBRE DEL EQUIPO O NODO
(ORIGEN DEL CONDUCTOR)</t>
  </si>
  <si>
    <t>No. DE FASES</t>
  </si>
  <si>
    <t>Tiempo Inverso</t>
  </si>
  <si>
    <r>
      <t xml:space="preserve">CAPACIDAD TOTAL (A)
</t>
    </r>
    <r>
      <rPr>
        <b/>
        <i/>
        <sz val="10"/>
        <rFont val="Arial"/>
        <family val="2"/>
      </rPr>
      <t>C16 x C20</t>
    </r>
  </si>
  <si>
    <r>
      <t xml:space="preserve">SÍ, CUANDO </t>
    </r>
    <r>
      <rPr>
        <b/>
        <i/>
        <sz val="10"/>
        <rFont val="Arial"/>
        <family val="2"/>
      </rPr>
      <t>C33 ≥ C12</t>
    </r>
  </si>
  <si>
    <t>*</t>
  </si>
  <si>
    <r>
      <t xml:space="preserve">FACTOR POR AGRUPAMIENTO
(Fg)
DE CONDUITS (NOTA se)
</t>
    </r>
    <r>
      <rPr>
        <b/>
        <sz val="20"/>
        <rFont val="Arial"/>
        <family val="2"/>
      </rPr>
      <t>(No borrar ni editar
las celdas)</t>
    </r>
  </si>
  <si>
    <r>
      <t xml:space="preserve">FACTOR DE AJUSTE POR AGRUPAMIENTO DE CONDUITS
</t>
    </r>
    <r>
      <rPr>
        <b/>
        <sz val="20"/>
        <rFont val="Arial"/>
        <family val="2"/>
      </rPr>
      <t>(No borrar ni editar
las celdas)</t>
    </r>
  </si>
  <si>
    <r>
      <t xml:space="preserve">FACTOR DE AJUSTE POR TEMPERATURA AMBIENTE
</t>
    </r>
    <r>
      <rPr>
        <b/>
        <sz val="20"/>
        <rFont val="Arial"/>
        <family val="2"/>
      </rPr>
      <t>(No borrar ni editar
las celdas)</t>
    </r>
  </si>
  <si>
    <r>
      <t xml:space="preserve">CASILLA DE VERIFICACIÓN
</t>
    </r>
    <r>
      <rPr>
        <b/>
        <sz val="14"/>
        <rFont val="Arial"/>
        <family val="2"/>
      </rPr>
      <t>NO BORRAR</t>
    </r>
  </si>
  <si>
    <t>I de diseño
(NOTA 15)</t>
  </si>
  <si>
    <t>Inp
Selección
NEC 240.6</t>
  </si>
  <si>
    <t>Selección
NEC 240.6</t>
  </si>
  <si>
    <t>Distancia de separación mínima en los cables</t>
  </si>
  <si>
    <t>1/C=monopolar
X/C=multiconductor
 Donde   X = # de                     conductores
+ 
Tipo de aislamiento</t>
  </si>
  <si>
    <r>
      <t xml:space="preserve">MARCHA
SÍ, CUANDO </t>
    </r>
    <r>
      <rPr>
        <b/>
        <i/>
        <sz val="10"/>
        <rFont val="Arial"/>
        <family val="2"/>
      </rPr>
      <t>C34 ≤ 3%</t>
    </r>
  </si>
  <si>
    <t>Capacidad de corriente corregida por temperatura</t>
  </si>
  <si>
    <t>BANDEJA
392.80(A)</t>
  </si>
  <si>
    <t>[V a.c]</t>
  </si>
  <si>
    <t xml:space="preserve"> CÁLCULO DE CABLES ELÉCTRICOS EN BAJA TENSIÓN</t>
  </si>
  <si>
    <t>2.1</t>
  </si>
  <si>
    <t>ALIMENTADORES 480 V</t>
  </si>
  <si>
    <t>Multiconductor</t>
  </si>
  <si>
    <t>12. CRITERIOS DE DISEÑO</t>
  </si>
  <si>
    <r>
      <rPr>
        <b/>
        <sz val="11"/>
        <rFont val="Arial"/>
        <family val="2"/>
      </rPr>
      <t xml:space="preserve">a) </t>
    </r>
    <r>
      <rPr>
        <sz val="11"/>
        <rFont val="Arial"/>
        <family val="2"/>
      </rPr>
      <t>La tubería se selecciona teniendo en cuenta que el área transversal de esta deberá estar ocupada en máximo el 40%. Es decir, que la suma del área transversal de todos los cables que van a ir por dicha tubería no ocupe más del 40%. En los casos que sólo se tengan dos cables se permite un máximo de ocupación del 31% y si solo es uno del 53%. Para el caso donde va un multiconductor este es considerado como un único conductor dentro del ducto, para este caso el porcentaje de llenado máximo es del 53%.</t>
    </r>
  </si>
  <si>
    <r>
      <rPr>
        <b/>
        <sz val="11"/>
        <rFont val="Arial"/>
        <family val="2"/>
      </rPr>
      <t>b)</t>
    </r>
    <r>
      <rPr>
        <sz val="11"/>
        <rFont val="Arial"/>
        <family val="2"/>
      </rPr>
      <t xml:space="preserve"> Se llevará un único servicio eléctrico por cada tubería.</t>
    </r>
  </si>
  <si>
    <r>
      <rPr>
        <b/>
        <sz val="11"/>
        <rFont val="Arial"/>
        <family val="2"/>
      </rPr>
      <t>c)</t>
    </r>
    <r>
      <rPr>
        <sz val="11"/>
        <rFont val="Arial"/>
        <family val="2"/>
      </rPr>
      <t xml:space="preserve"> Los circuitos que tengan más de un conductor por fase se tenderán en conduits independientes, el cual llevará el circuito con un conductor por fase y su respectivo cable de retorno a tierra se dimensiona con base en la tabla 250.122 del NEC de 2020 (NFPA 70).</t>
    </r>
  </si>
  <si>
    <r>
      <rPr>
        <b/>
        <sz val="11"/>
        <rFont val="Arial"/>
        <family val="2"/>
      </rPr>
      <t>d)</t>
    </r>
    <r>
      <rPr>
        <sz val="11"/>
        <rFont val="Arial"/>
        <family val="2"/>
      </rPr>
      <t xml:space="preserve"> El conduit de menor diámetro saliendo desde los tableros es de Ø2” para tubería PVC DB debido a que no se encuentra en el mercado un diámetro menor de esta referencia y Ø1” para tubería IMC.</t>
    </r>
  </si>
  <si>
    <r>
      <rPr>
        <b/>
        <sz val="11"/>
        <rFont val="Arial"/>
        <family val="2"/>
      </rPr>
      <t>e)</t>
    </r>
    <r>
      <rPr>
        <sz val="11"/>
        <rFont val="Arial"/>
        <family val="2"/>
      </rPr>
      <t xml:space="preserve"> Los diámetros de los conduits empleados en los cálculos, fueron tomados de los fabricantes Colmena para tubería IMC y PAVCO para tubería PVC. Los diámetros de los conductores fueron tomados del catalogo del fabricante CENTELSA.</t>
    </r>
  </si>
  <si>
    <r>
      <rPr>
        <b/>
        <sz val="11"/>
        <rFont val="Arial"/>
        <family val="2"/>
      </rPr>
      <t>f)</t>
    </r>
    <r>
      <rPr>
        <sz val="11"/>
        <rFont val="Arial"/>
        <family val="2"/>
      </rPr>
      <t xml:space="preserve"> Cuando el diseño incluya canalizaciones de diferente tipo (conduits a la vista o enterrado y bandeja portacables), los factores de corrección aplicados para la capacidad de corriente serán los del escenario más crítico o exigente.</t>
    </r>
  </si>
  <si>
    <t>VERIFICACIÓN MT</t>
  </si>
  <si>
    <t>VERIFICACIÓN BT</t>
  </si>
  <si>
    <t>CASILLAS</t>
  </si>
  <si>
    <t>TAG DEL EQUIPO</t>
  </si>
  <si>
    <t>SERVICIO
DEL EQUIPO
(LLEGADA DEL CABLE
ALIMENTADOR )</t>
  </si>
  <si>
    <t>CABLE 
ALIMENTADOR
DESDE</t>
  </si>
  <si>
    <t>POTENCIA CARGA NOMINAL</t>
  </si>
  <si>
    <t>FACTOR DE POTENCIA</t>
  </si>
  <si>
    <t>ARMÓNICOS 
THDi</t>
  </si>
  <si>
    <t>FACTOR DE  
DISTORSIÓN
ARMÓNICA</t>
  </si>
  <si>
    <t>EFICIENCIA DEL EQUIPO</t>
  </si>
  <si>
    <t>PÉRDIDAS PROPIAS DEL EQUIPO</t>
  </si>
  <si>
    <t>TAG DEL CABLE</t>
  </si>
  <si>
    <t>LONGITUD</t>
  </si>
  <si>
    <t>ACOMETIDA</t>
  </si>
  <si>
    <t>MATERIAL DEL CONDUCTOR</t>
  </si>
  <si>
    <t>PÉRDIDAS DE LA ACOMETIDA AL EQUIPO A PLENA CARGA</t>
  </si>
  <si>
    <t>NÚMERO DE CABLES POR FASE</t>
  </si>
  <si>
    <t>CALIBRE DE FASE</t>
  </si>
  <si>
    <t>NÚMERO DE CABLES DE TIERRA</t>
  </si>
  <si>
    <t>CALIBRE DE TIERRA</t>
  </si>
  <si>
    <t>CASILLA DE VERIFICACIÓN
NO BORRAR</t>
  </si>
  <si>
    <t>[kW]</t>
  </si>
  <si>
    <t>[W]</t>
  </si>
  <si>
    <t>CÁLCULO DE PÉRDIDAS DE ENERGÍA</t>
  </si>
  <si>
    <t>PÉRDIDAS DE ENERGÍA EQUIPOS</t>
  </si>
  <si>
    <t>PÉRDIDAS DE ENERGÍA CONDUCTORES</t>
  </si>
  <si>
    <t xml:space="preserve"> CARGAS A NIVEL DE MEDIA TENSIÓN</t>
  </si>
  <si>
    <t>3.1</t>
  </si>
  <si>
    <t xml:space="preserve"> CARGAS A NIVEL DE BAJA TENSIÓN</t>
  </si>
  <si>
    <t>3.2</t>
  </si>
  <si>
    <t>PÉRDIDAS DE POTENCIA TOTALES</t>
  </si>
  <si>
    <t>POTENCIA TOTAL DEL TRANSFORMADOR QUE SUPLE LA TOTALIDAD DE LA ENERGÍA DEMANDADA</t>
  </si>
  <si>
    <t>ENERGÍA TOTAL MÁXIMA EN UN DÍA ENTREGADA POR EL TRANSFORMADOR ALIMENTADOR DE LA CARGA TOTAL</t>
  </si>
  <si>
    <t>PÉRDIDAS TOTALES DE ENERGÍA, CALCULADO EN 1 DÍA</t>
  </si>
  <si>
    <t>PORCENTAJE DE PÉRDIDAS DE ENERGÍA EN 1 DÍA</t>
  </si>
  <si>
    <t>CANALIZACIÓN EN TUBERÍA</t>
  </si>
  <si>
    <t>TAG EQUIPO</t>
  </si>
  <si>
    <t>CONDUCTOR ELÉCTRICO</t>
  </si>
  <si>
    <t>CONDUITS</t>
  </si>
  <si>
    <t>CANTIDAD DE TUBERÍA</t>
  </si>
  <si>
    <t>TIPO DE TUBERÍA</t>
  </si>
  <si>
    <t xml:space="preserve">ANCHO BANDEJA </t>
  </si>
  <si>
    <t>CONSECUTIVO DEL TAG DE LA BANDEJA</t>
  </si>
  <si>
    <t xml:space="preserve">DISPOSICIÓN FÍSICA DE CONDUCTORES EN BANDEJA </t>
  </si>
  <si>
    <t>EL RECORRIDO DEL CONDUCTOR TIENE BANDEJA Y TUBERIA</t>
  </si>
  <si>
    <t>TIPO DE CABLES EN LA BANDEJA</t>
  </si>
  <si>
    <t>EN LA MISMA BANDEJA HAY CABLES MONOPOLARES 
Y MULTICONDUCTORES</t>
  </si>
  <si>
    <t>DETERMINAR SI ES BANDEJA, NO MODIFICAR</t>
  </si>
  <si>
    <t># DEL CALIBRE ESCOGIDO FASE</t>
  </si>
  <si>
    <t># DEL CAIBRE ESCOGIDO TIERRA</t>
  </si>
  <si>
    <t>% OCUPACIÓN MONOPOLAR</t>
  </si>
  <si>
    <t>% OCUPACIÓN MULTICONDUCTOR</t>
  </si>
  <si>
    <t>NUMERO PARA SABER EL DIAMETRO DEL CONDUIT</t>
  </si>
  <si>
    <t>CALIBRE DE NEUTRO</t>
  </si>
  <si>
    <t># DEL CAIBRE ESCOGIDO NEUTRO</t>
  </si>
  <si>
    <t>CALIBRE Y CONFIGURACIÓN CONDUCTOR</t>
  </si>
  <si>
    <t>LONGITUD DEL CIRCUITO</t>
  </si>
  <si>
    <t>ÁREA TOTAL DE CONDUCTORES POR CONDUIT</t>
  </si>
  <si>
    <t>ÁREA TOTAL DE CONDUCTORES</t>
  </si>
  <si>
    <t>DIÁMETRO</t>
  </si>
  <si>
    <t>OCUPACIÓN</t>
  </si>
  <si>
    <t>TAG CONDUIT</t>
  </si>
  <si>
    <t>CANTIDAD TOTAL CONDUCTORES</t>
  </si>
  <si>
    <t>ÁREA TOTAL DE CONDUCTORES NEC 392.22(A) y 392.22(B)</t>
  </si>
  <si>
    <t>DIÁMETRO CONDUCTORES PARCIAL UNA CAPA</t>
  </si>
  <si>
    <t>DIÁMETRO CONDUCTORES TOTAL EN UNA CAPA</t>
  </si>
  <si>
    <t>OCUPACIÓN PARCIAL
NEC 392.22(A),(B)</t>
  </si>
  <si>
    <t>OCUPACIÓN TOTAL BANDEJA</t>
  </si>
  <si>
    <t>PORCENTAJE DE LLENADO PERMITIDO</t>
  </si>
  <si>
    <t>CONDUCTOR DESNUDO DE PUESTA A TIERRA</t>
  </si>
  <si>
    <t>TAG BANDEJA</t>
  </si>
  <si>
    <t>PORCENTAJE DE LLENADO TOTAL</t>
  </si>
  <si>
    <t>CASO 1: SI TANTO EL CONDUCTOR DE FASE COMO EL DE TIERRA ESTÁN ENTRE 1/0 AWG Y 4/0 AWG</t>
  </si>
  <si>
    <t>CASO 2: SI EL CONDUCTOR DE FASE ESTAN ENTRE 250 KCMIL Y 900 KCMIL Y EL CONDUCTOR DE TIERRA ESTA ENTRE 1/0 AWG Y 4/0 AWG</t>
  </si>
  <si>
    <t>CASO 2: SI TANTO EL CONDUCTOR DE FASE COMO EL CONDUCTOR DE TIERRA ESTAN ENTRE 250 KCMIL Y 900 KCMIL</t>
  </si>
  <si>
    <t>DIAMETRO CONDUCTORES FASE</t>
  </si>
  <si>
    <t>DIAMETRO CONDUCTORES TIERRA</t>
  </si>
  <si>
    <t>ANCHO TOTAL BANDEJA</t>
  </si>
  <si>
    <t>LLENADO</t>
  </si>
  <si>
    <t>ÁREA CONDUCTORES FASE</t>
  </si>
  <si>
    <t>ÁREA TOTAL BANDEJA</t>
  </si>
  <si>
    <t>ÁREA LLENADO NTC 2050</t>
  </si>
  <si>
    <t>PORCENTAJE PERMITIDO NTC2050</t>
  </si>
  <si>
    <t>PORCENTAJE LLENADO CALCULADO</t>
  </si>
  <si>
    <t>ÁREA CONDUCTORES TIERRA</t>
  </si>
  <si>
    <t>[AWG]</t>
  </si>
  <si>
    <r>
      <t xml:space="preserve"> [mm</t>
    </r>
    <r>
      <rPr>
        <b/>
        <vertAlign val="superscript"/>
        <sz val="11"/>
        <rFont val="Century Gothic"/>
        <family val="2"/>
      </rPr>
      <t>2</t>
    </r>
    <r>
      <rPr>
        <b/>
        <sz val="11"/>
        <rFont val="Century Gothic"/>
        <family val="2"/>
      </rPr>
      <t>]</t>
    </r>
  </si>
  <si>
    <t>[in]</t>
  </si>
  <si>
    <t>[UN]</t>
  </si>
  <si>
    <r>
      <t>[mm</t>
    </r>
    <r>
      <rPr>
        <b/>
        <vertAlign val="superscript"/>
        <sz val="11"/>
        <rFont val="Century Gothic"/>
        <family val="2"/>
      </rPr>
      <t>2</t>
    </r>
    <r>
      <rPr>
        <b/>
        <sz val="11"/>
        <rFont val="Century Gothic"/>
        <family val="2"/>
      </rPr>
      <t>]</t>
    </r>
  </si>
  <si>
    <t>[mm]</t>
  </si>
  <si>
    <t>[cm]</t>
  </si>
  <si>
    <t>CÁLCULO DE CANALIZACIONES ELÉCTRICAS</t>
  </si>
  <si>
    <t>4.1</t>
  </si>
  <si>
    <t>Triada</t>
  </si>
  <si>
    <t>4.2</t>
  </si>
  <si>
    <t>RESISTIVIDAD ELÉCTRICA DEL CONDUCTOR A 20°C</t>
  </si>
  <si>
    <t>Variación anual de la demanda [$/W.año]</t>
  </si>
  <si>
    <t>Cantidad auxiliar</t>
  </si>
  <si>
    <t>Tasa de capitalización para el cálculo del valor presente [%]</t>
  </si>
  <si>
    <t>Tiempo de operación con pérdida por calentamiento máxima [h/año]</t>
  </si>
  <si>
    <t>Número de circuitos que llevan el mismo tipo y valor de carga</t>
  </si>
  <si>
    <t>Nc</t>
  </si>
  <si>
    <t>Costo de un watt-hora en el nivel de la tensión pertinente [$/W.h]</t>
  </si>
  <si>
    <t>Temperatura máxima nominal del conductor para el tipo de cable considerado [ºC]</t>
  </si>
  <si>
    <t>Temperatura promedio de operación del conductor [°C]</t>
  </si>
  <si>
    <t>Coeficiente de temperatura para la resistencia del conductor a 20°C [K¯¹]</t>
  </si>
  <si>
    <t>Cantidad Auxiliar</t>
  </si>
  <si>
    <t>Aumento anual de la carga (Imax) [%]</t>
  </si>
  <si>
    <t>Aumento anual del costo de energía, sin incluir los efectos de la inflación [%]</t>
  </si>
  <si>
    <t>Período cubierto por el cálculo financiero, también referido como “vida económica” [año]</t>
  </si>
  <si>
    <t>Número de cable para efectos de la memoria</t>
  </si>
  <si>
    <r>
      <t>Sección del conductor OPCIÓN TÉCNICA [mm</t>
    </r>
    <r>
      <rPr>
        <b/>
        <i/>
        <sz val="10"/>
        <color rgb="FF0070C0"/>
        <rFont val="Calibri"/>
        <family val="2"/>
      </rPr>
      <t>²</t>
    </r>
    <r>
      <rPr>
        <b/>
        <i/>
        <sz val="10"/>
        <color rgb="FF0070C0"/>
        <rFont val="Arial"/>
        <family val="2"/>
      </rPr>
      <t>]</t>
    </r>
  </si>
  <si>
    <t>sección económica del conductor [mm2]
CALCULADO</t>
  </si>
  <si>
    <t>CASILLA AUZILIAR PARA SACAR UNA CANTIDAD - OCULTAR</t>
  </si>
  <si>
    <t>Cantidad auxiliar para seleccionar conductor de Opc. 1 y Opc. 2</t>
  </si>
  <si>
    <t>CONDUCTOR ECONÓMICO A ELEGIR OPCIÓN 1</t>
  </si>
  <si>
    <t>CONDUCTOR ECONÓMICO A ELEGIR OPCIÓN 2</t>
  </si>
  <si>
    <t>corriente máxima prevista para el circuito en el primer año [A]</t>
  </si>
  <si>
    <t>cantidad auxiliar</t>
  </si>
  <si>
    <r>
      <t>Resistividad eléctrica del material conductor a 20°C [</t>
    </r>
    <r>
      <rPr>
        <b/>
        <i/>
        <sz val="10"/>
        <color rgb="FF0070C0"/>
        <rFont val="Calibri"/>
        <family val="2"/>
      </rPr>
      <t>Ω</t>
    </r>
    <r>
      <rPr>
        <b/>
        <i/>
        <sz val="10"/>
        <color rgb="FF0070C0"/>
        <rFont val="Arial"/>
        <family val="2"/>
      </rPr>
      <t>m]</t>
    </r>
  </si>
  <si>
    <r>
      <t>Componente variable del costo por unidad de longitud conforme la sección del conductor [$/m.mm</t>
    </r>
    <r>
      <rPr>
        <i/>
        <sz val="10"/>
        <rFont val="Calibri"/>
        <family val="2"/>
      </rPr>
      <t>²</t>
    </r>
    <r>
      <rPr>
        <i/>
        <sz val="10"/>
        <rFont val="Arial"/>
        <family val="2"/>
      </rPr>
      <t>]</t>
    </r>
  </si>
  <si>
    <t>Capacitancia por conductor aislado [F/m]</t>
  </si>
  <si>
    <t>Pérdidas dieléctricas por unidad de longitud por fase [W/m]</t>
  </si>
  <si>
    <t>Resistencia térmica del aislamiento para un conductor sencillo</t>
  </si>
  <si>
    <t>Máxima temperatura de operación de la pantalla o cubierta del cable [°C]</t>
  </si>
  <si>
    <t>La resistencia de la cubierta metálica o de la pantalla a su temperatura máxima de operación del cable a 20 °C [Ω/m]</t>
  </si>
  <si>
    <t>Valor de Xs</t>
  </si>
  <si>
    <t>Valor de Xp</t>
  </si>
  <si>
    <t>Factor de proximidad, conforme IE60287-1-1</t>
  </si>
  <si>
    <t>Factor debido al efecto pelicular, conforme IEC 60287-1-1</t>
  </si>
  <si>
    <t>Factor de pérdida de la cobertura, conforme IEC 60287-1-1</t>
  </si>
  <si>
    <t>Factor de pérdida del armazón, conforme IEC 60287-1-1</t>
  </si>
  <si>
    <t>Sección transversal conductor OPCIÓN 1 [mm2]</t>
  </si>
  <si>
    <t>Sección transversal conductor OPCIÓN 2 [mm2]</t>
  </si>
  <si>
    <t>Costo total de las secciones económicas obtenidas en el primer cálculo. OPCIÓN 1</t>
  </si>
  <si>
    <t>Costo total de las secciones económicas obtenidas en el primer cálculo. OPCIÓN 2</t>
  </si>
  <si>
    <t>Costo total de las secciones económicas obtenidas en el primer cálculo. OPCIÓN TÉCNICA</t>
  </si>
  <si>
    <t>CÁLCULO POR COSTO DE PÉRDIDAS OPCIÓN 1 [$]</t>
  </si>
  <si>
    <t>CÁLCULO POR COSTO DE PÉRDIDAS OPCIÓN 2 [$]</t>
  </si>
  <si>
    <t>CÁLCULO POR COSTO DE PÉRDIDAS OPCIÓN TÉCNICA [$]</t>
  </si>
  <si>
    <t>Costo inicial del cable CI [$/m]</t>
  </si>
  <si>
    <t>Costo inicial de instalación CI [$/m]</t>
  </si>
  <si>
    <t>Cálculo por costo OPCIÓN 1</t>
  </si>
  <si>
    <t>Costo de la instalación teniendo en cuenta la longitud</t>
  </si>
  <si>
    <t>Cálculo por costo OPCIÓN 2</t>
  </si>
  <si>
    <t>Cálculo por costo OPCIÓN TÉCNICA</t>
  </si>
  <si>
    <t>CÁLCULO POR COSTO OPCIÓN 1 [$]</t>
  </si>
  <si>
    <t>CÁLCULO POR COSTO OPCIÓN 2 [$]</t>
  </si>
  <si>
    <t>CÁLCULO POR COSTO OPCIÓN TÉCNICA [$]</t>
  </si>
  <si>
    <t>VERIFICACIÓN SI ES CABLE ARMADO</t>
  </si>
  <si>
    <t>POTENCIA CARGA NOMINAL [kVA] - [hp] - [kW]</t>
  </si>
  <si>
    <t>CAPACIDAD DE CORRIENTE
REAL DERRATEADA</t>
  </si>
  <si>
    <t>LONGITUD DEL CONDUCTOR [m]</t>
  </si>
  <si>
    <t>DIMENSIONAMIENTO TÉCNICO DEL CONDUCTOR DE FASE</t>
  </si>
  <si>
    <t>CÁLCULO POR COSTO OPCIÓN 1 
[$]</t>
  </si>
  <si>
    <t>CÁLCULO POR COSTO OPCIÓN 2 
[$]</t>
  </si>
  <si>
    <t>OPCIÓN ELEGIDA ECONÓMICAMENTE</t>
  </si>
  <si>
    <t>COMPOSICIÓN</t>
  </si>
  <si>
    <t>SI ES MULTICONDUCTOR,  CUANTOS HILOS ES EL CABLE</t>
  </si>
  <si>
    <t>[kcmil]</t>
  </si>
  <si>
    <t xml:space="preserve"> CONDUCTORES DE ALUMINIO</t>
  </si>
  <si>
    <t>5.1</t>
  </si>
  <si>
    <t>Sec</t>
  </si>
  <si>
    <t>OPCIÓN 1</t>
  </si>
  <si>
    <t>OPCIÓN 2</t>
  </si>
  <si>
    <t>imax</t>
  </si>
  <si>
    <r>
      <rPr>
        <sz val="14"/>
        <rFont val="Arial"/>
        <family val="2"/>
      </rPr>
      <t>ρ</t>
    </r>
    <r>
      <rPr>
        <sz val="8"/>
        <rFont val="Arial"/>
        <family val="2"/>
      </rPr>
      <t>20</t>
    </r>
  </si>
  <si>
    <t>Wd</t>
  </si>
  <si>
    <t>RT</t>
  </si>
  <si>
    <t>θsc</t>
  </si>
  <si>
    <t>Rs</t>
  </si>
  <si>
    <t>Xs</t>
  </si>
  <si>
    <t>Xp</t>
  </si>
  <si>
    <t>Yp</t>
  </si>
  <si>
    <t>Ys</t>
  </si>
  <si>
    <t>λ1</t>
  </si>
  <si>
    <t>λ2</t>
  </si>
  <si>
    <t>Sec Opc. 1</t>
  </si>
  <si>
    <t>Sec Opc. 2</t>
  </si>
  <si>
    <t>R(S)</t>
  </si>
  <si>
    <t>CJ PÉRDIDAS EN VALOR PRESENTE</t>
  </si>
  <si>
    <t>CI OPCIÓN 1</t>
  </si>
  <si>
    <t>CI OPCIÓN 2</t>
  </si>
  <si>
    <t>CI OPCIÓN TÉCNICA</t>
  </si>
  <si>
    <t>CT</t>
  </si>
  <si>
    <t>5.2</t>
  </si>
  <si>
    <t xml:space="preserve">PÉRDIDAS ECONÓMICAS TOTALES [$] </t>
  </si>
  <si>
    <t>OPCIÓN TÉCNICA</t>
  </si>
  <si>
    <t>UND</t>
  </si>
  <si>
    <t xml:space="preserve">Variación anual de la demanda </t>
  </si>
  <si>
    <t>[$/W.año]</t>
  </si>
  <si>
    <t xml:space="preserve">Tasa de capitalización para el cálculo del valor presente </t>
  </si>
  <si>
    <t xml:space="preserve">VERIFICACIÓN SI ES EN ALUMINIO </t>
  </si>
  <si>
    <t>EFICIENCIA DEL  EQUIPO</t>
  </si>
  <si>
    <t xml:space="preserve">Costo de un kilo-watt-hora en el nivel de la tensión pertinente </t>
  </si>
  <si>
    <t>[kW.h]</t>
  </si>
  <si>
    <t>Temperatura máxima nominal del conductor</t>
  </si>
  <si>
    <t>[ºC]</t>
  </si>
  <si>
    <t>Temperatura ambiente promedio</t>
  </si>
  <si>
    <t>Aumento anual de la carga</t>
  </si>
  <si>
    <t>Aumento anual del costo de energía, sin incluir los efectos de la inflación</t>
  </si>
  <si>
    <t>[V]</t>
  </si>
  <si>
    <t>Período en años del cálculo económico</t>
  </si>
  <si>
    <t>años</t>
  </si>
  <si>
    <t xml:space="preserve"> CONDUCTORES DE COBRE</t>
  </si>
  <si>
    <t>15.1.1</t>
  </si>
  <si>
    <t>OCULTAR PARA UN MEJOR ENTENDIMIENTO DE LA MEMORIA</t>
  </si>
  <si>
    <t>15.1.2</t>
  </si>
  <si>
    <t>15.2.1</t>
  </si>
  <si>
    <t>15.2.2</t>
  </si>
  <si>
    <t>15.2.3</t>
  </si>
  <si>
    <t>15.2.4</t>
  </si>
  <si>
    <t>15.2.5</t>
  </si>
  <si>
    <t>15.2.6</t>
  </si>
  <si>
    <t>15.2.7</t>
  </si>
  <si>
    <t>15.2.8</t>
  </si>
  <si>
    <t>17. RESULTADOS COSTO DE PÉRDIDAS ECONÓMICAS</t>
  </si>
  <si>
    <t xml:space="preserve">Los cálculos realizados en los ítems "CÁLCULO DE CABLES ELÉCTRICOS EN MEDIA TENSIÓN" y "CÁLCULO DE CABLES ELÉCTRICOS EN BAJA TENSIÓN" corresponden a los alimentadores para todas las cargas de entrada del TBT. El cálculo principal seleccionado corresponde a la selección técnica considerando la regulación y carga alimentada para cada uno de los conductores de fase.
</t>
  </si>
  <si>
    <t>Los cálculos realizados en los ítem "CONDUCTORES DE COBRE" y "CONDUCTORES DE ALUMINIO" para el cálculo económico de conductores, relaciona la suma del costo del conductor, el costo total de la instalación y el costo de las pérdidas de energía en el alimentador a valor presente, considerando un periodo de 20 años para la opción de cobre y aluminio.</t>
  </si>
  <si>
    <t>El costo de la energía para un nivel IV en el departamento del XXXXX, con valor unitario de prestación del servicio de $XXXXX $/kWh para usuario regulado, con una tasa de capitalización para el cálculo del valor presente del XXX% y aumento anual del costo de energía, sin incluir los efectos de la inflación del 0.5%, para el cálculo no se consideró aumento de carga para cada uno de los alimentadores durante un periodo de tiempo evaluado.</t>
  </si>
  <si>
    <t>A continuación se realiza la comparación del costo en pérdidas económicas del conductor en aluminio, teniendo en base el conductor del cobre:</t>
  </si>
  <si>
    <t>Tabla 10. Comparación costo de pérdidas económicos Aluminio - Cobre 20 años</t>
  </si>
  <si>
    <t>COSTO TOTAL</t>
  </si>
  <si>
    <t>COSTO DE INSTALACIÓN</t>
  </si>
  <si>
    <t>COSTO EN PÉRDIDAS</t>
  </si>
  <si>
    <t>OPCIÓN A ESCOGER</t>
  </si>
  <si>
    <t>[$]</t>
  </si>
  <si>
    <t>Costo económico aluminio (Al)</t>
  </si>
  <si>
    <t>Costo económico cobre (Cu)</t>
  </si>
  <si>
    <t>Costo técnico del conductor (Al)</t>
  </si>
  <si>
    <t>Costo técnico del conductor (Cu)</t>
  </si>
  <si>
    <t>Bajo el análisis de selección de conductores económicos la sección transversal OPCIÓN XXXXX, es la elegida para el aluminio y la OPCIÓN XXXXXX para el cobre.</t>
  </si>
  <si>
    <t xml:space="preserve">El análisis económico para conductores de cobre en un periodo de vida útil de 20 años determina que es el cobre una alternativa confiable, por su baja proporción de pérdidas económicas, bajo mantenimiento y seguridad ante montajes por pérdidas de la conductividad de aluminio hacia su punto de alimentación. </t>
  </si>
  <si>
    <t>En conclusión el conductor seleccionado para la instalación deberá ser el de XXXXX, siendo la OPCIÓN XXXXXX mas apropiada por XXXXXX, además teniendo en cuenta las restricciones y particularidades de este proyecto.</t>
  </si>
  <si>
    <t>6.1</t>
  </si>
  <si>
    <t>Nº</t>
  </si>
  <si>
    <t>TAG</t>
  </si>
  <si>
    <t>Descripción</t>
  </si>
  <si>
    <t>Potencia
Operación</t>
  </si>
  <si>
    <t>Alimentación</t>
  </si>
  <si>
    <t>Potencia Eléctrica</t>
  </si>
  <si>
    <t>Factor de Utilización
(Nota 4)</t>
  </si>
  <si>
    <t>Factor de
potencia</t>
  </si>
  <si>
    <t>Factor de
potencia de
distorsión
armónica</t>
  </si>
  <si>
    <t>Eficiencia carga</t>
  </si>
  <si>
    <t>Eficiencia variador</t>
  </si>
  <si>
    <t>Eficiencia SUT</t>
  </si>
  <si>
    <t>Demanda</t>
  </si>
  <si>
    <t>Voltios</t>
  </si>
  <si>
    <t>Sistema</t>
  </si>
  <si>
    <t>Valor</t>
  </si>
  <si>
    <t>Unidad</t>
  </si>
  <si>
    <t>%</t>
  </si>
  <si>
    <t>P (kW)</t>
  </si>
  <si>
    <t>Q (kVAR)</t>
  </si>
  <si>
    <t>S (kVA)</t>
  </si>
  <si>
    <t xml:space="preserve">DEMANDA ASOCIADA </t>
  </si>
  <si>
    <t>Pérdidas alimentadores en MT SUTs - BES</t>
  </si>
  <si>
    <t xml:space="preserve">Demanda Total </t>
  </si>
  <si>
    <t>Factor de Potencia total</t>
  </si>
  <si>
    <t>DIMENSIONAMIENTO CAPACIDAD DE TRANSFORMACIÓN CON TOTALIDAD DE CARGAS</t>
  </si>
  <si>
    <t>Capacidad del transformador (kVA)</t>
  </si>
  <si>
    <t>Reserva del transformador (kVA)</t>
  </si>
  <si>
    <t>Reserva del transformador (%)</t>
  </si>
  <si>
    <t xml:space="preserve">DIMENSIONAMIENTO CAPACIDAD DE GENERACIÓN LOCAL </t>
  </si>
  <si>
    <t>Potencia total prime (kW) requerida (Ver nota 14)</t>
  </si>
  <si>
    <t>Potencia seleccionada (kW)</t>
  </si>
  <si>
    <t>DIMENSIONAMIENTO CAPACIDAD DEL BARRAJE</t>
  </si>
  <si>
    <t>Corriente de diseño (1,25) (A)</t>
  </si>
  <si>
    <t>Selección del barraje (Nota 14)</t>
  </si>
  <si>
    <t>6.2</t>
  </si>
  <si>
    <t>TABLERO DE SERVICIOS AUXILIARES - CARGAS 240-120 V</t>
  </si>
  <si>
    <t>OPERACIÓN</t>
  </si>
  <si>
    <t>CLASIFICACIÓN 
DE ÁREA</t>
  </si>
  <si>
    <t>CARGA INSTALADA</t>
  </si>
  <si>
    <t xml:space="preserve"> FACTORES</t>
  </si>
  <si>
    <t>CARGA EN OPERACIÓN</t>
  </si>
  <si>
    <t>CONTINUO</t>
  </si>
  <si>
    <t>INTERMITENTE</t>
  </si>
  <si>
    <t>(V)</t>
  </si>
  <si>
    <t>FD</t>
  </si>
  <si>
    <t>FC</t>
  </si>
  <si>
    <t>EFC</t>
  </si>
  <si>
    <t>FP</t>
  </si>
  <si>
    <t>6.2.1</t>
  </si>
  <si>
    <t>O</t>
  </si>
  <si>
    <t>N.A</t>
  </si>
  <si>
    <t>-</t>
  </si>
  <si>
    <t>6.2.2</t>
  </si>
  <si>
    <t>6.2.3</t>
  </si>
  <si>
    <t>6.2.4</t>
  </si>
  <si>
    <t>6.2.5</t>
  </si>
  <si>
    <t>6.2.6</t>
  </si>
  <si>
    <t xml:space="preserve"> POTENCIA TRANSFORMADOR DE SERVICIOS AUXILIARES</t>
  </si>
  <si>
    <t>POTENCIA ACUMULADA</t>
  </si>
  <si>
    <t>TOTALES</t>
  </si>
  <si>
    <t>TOTAL CARGA 240-120 V  (CONTINUO + INTERMITENTE)</t>
  </si>
  <si>
    <t xml:space="preserve">DIMENSIONAMIENTO CAPACIDAD TRANSFORMADOR SERVICIOS AUXILIARES </t>
  </si>
  <si>
    <t>Potencia requerida operativa (Demanda)</t>
  </si>
  <si>
    <t>Potencia Seleccionada del Transformador</t>
  </si>
  <si>
    <t>No de Transformadores</t>
  </si>
  <si>
    <t xml:space="preserve">Potencia instalada Total </t>
  </si>
  <si>
    <t>Cargabilidad Final</t>
  </si>
  <si>
    <t>Corriente Nominal Transformador SDT</t>
  </si>
  <si>
    <t>RC</t>
  </si>
  <si>
    <t>S.A.</t>
  </si>
  <si>
    <t>Notas:</t>
  </si>
  <si>
    <t>1.</t>
  </si>
  <si>
    <t>El porcentaje calculado de pérdidas de energía de los equipos, se hace con base a la energía total consumida con valores nominales.</t>
  </si>
  <si>
    <t>2.</t>
  </si>
  <si>
    <t>Las pérdidas enunciadas en este documento corresponden únicamente a los tableros de distribución desarrollados dentro de la ingeniería.</t>
  </si>
  <si>
    <t>3.</t>
  </si>
  <si>
    <t>4.</t>
  </si>
  <si>
    <t>5.</t>
  </si>
  <si>
    <t>Las cargas eléctricas se clasifican de tres formas: continuas, intermitentes, o reserva según su función dentro del proceso, sin afectar la calidad del producto. Siendo continuas e intermitentes aquellas que requieren mayor respaldo para mantener continuidad en la producción.</t>
  </si>
  <si>
    <t>6.</t>
  </si>
  <si>
    <t>A continuación, se definen las abreviaturas utilizadas en la presente memoria:</t>
  </si>
  <si>
    <t>FD = Factor de demanda: Es la relación entre la máxima demanda de un sistema y la carga total conectada al sistema.</t>
  </si>
  <si>
    <t>FC = Factor de carga: Es la relación entre la carga promedio y la carga pico de un sistema en un período de tiempo especificado.</t>
  </si>
  <si>
    <t>Carga continua</t>
  </si>
  <si>
    <t>Carga intermitente</t>
  </si>
  <si>
    <t>EFC = Eficiencia: Es la relación entre la potencia demandada y la potencia entregada en la salida del equipo.</t>
  </si>
  <si>
    <t>FP = Factor de potencia: relación entre la potencia activa (kW) y la potencia aparente (kVA) del mismo sistema eléctrico o parte de él.</t>
  </si>
  <si>
    <t>7.</t>
  </si>
  <si>
    <t>8.</t>
  </si>
  <si>
    <t>Para efectos de cálculo se considera 1 HP = 0,746 kW, la potencia en kVA = kW /  FP  (FP: factor de potencia), para encontrar los kW de diseño se realiza la siguiente operación = HP * 0,746 / ƞ , siendo ƞ la eficiencia del equipo.</t>
  </si>
  <si>
    <t>9.</t>
  </si>
  <si>
    <t>10.</t>
  </si>
  <si>
    <t>11.</t>
  </si>
  <si>
    <t>La verificación de la capacidad nominal de los conductores en media tensión, se verificó en la sección 1.1 de cálculo de conductores de MT que se presenta en este documento.</t>
  </si>
  <si>
    <t>12.</t>
  </si>
  <si>
    <t>La capacidad de corriente de los conductores se dimensiona a 1,25 veces la corriente nominal del circuito para las cargas contempladas.</t>
  </si>
  <si>
    <t>El calibre mínimo del conductor debido al aumento de temperatura por corto circuito en conductores de baja tensión es calculado con la ecuación 1, donde i es la corriente de cortocircuito [A], t el tiempo de despeje de la falla (0,15 s), y el valor k (constante de aumento de temperatura por corto circuito) se calcula según las siguientes ecuaciones de la norma IEC-60364-5-54:</t>
  </si>
  <si>
    <t xml:space="preserve">17. </t>
  </si>
  <si>
    <t>La verificación de la capacidad nominal de los conductores en media tensión, se realizó en la sección 1.1 de cálculo de conductores de MT que se presenta en este documento.</t>
  </si>
  <si>
    <t>Se consideró una regulación de tensión para las condiciones nominales de operación de la instalación de 3 % y máximo 5 % para cargas ramales más lejanas, de acuerdo con el artículo 215.2 (A)(1)(b), nota informativa Nº2 de la NTC 2050 segunda actualización.</t>
  </si>
  <si>
    <t>El material de los conductores de media y baja tensión será el indicado en esta memoria de cálculo y el mostrado en el diagrama unifilar citado en los documentos de referencia.</t>
  </si>
  <si>
    <t xml:space="preserve">22. </t>
  </si>
  <si>
    <t>Los valores de eficiencia del transformador de potencia (SDT) se obtienen de NEMA TP-1. Se selecciona el valor de 0,988 de la tabla 4-2.</t>
  </si>
  <si>
    <t>El porcentaje de ocupación máximo permitido en los tubos conduit de acuerdo a la NTC 2050 segunda actualización capítulo 9 tabla 1, es del 40% cuando en un mismo ducto van tres o más conductores. Sin embargo, para equipos que se encuentren en áreas clasificadas, el porcentaje de ocupación para el sello deberá estar de acuerdo con el artículo 501.5 de la NTC 2050 segunda actualización.</t>
  </si>
  <si>
    <t>El tipo de canalización que se tiene en cuenta para el cálculo de los conductores es banco de ductos, teniendo en cuenta lo establecido en la NTC 2050 segunda actualización, artículo 310-15 (A) (2).</t>
  </si>
  <si>
    <t>El ajuste del disparo de las protecciones termomagnéticas regulables se debe definir con un estudio de coordinación de protecciones eléctricas. Se debe garantizar que el valor de disparo este compreendido entre la corriente a plena carga (o la corriente nominal) del circuito y la capacidad de corriente real derrateada del alimentador a proteger.</t>
  </si>
  <si>
    <t>DOCUMENTOS DE REFERENCIA</t>
  </si>
  <si>
    <t>ENTRADA TALADRO</t>
  </si>
  <si>
    <t>INICIO</t>
  </si>
  <si>
    <t>FIN</t>
  </si>
  <si>
    <t>BUCLE EQUIPO INICIAL (M)</t>
  </si>
  <si>
    <t>AEREO (M)</t>
  </si>
  <si>
    <t>AFLORAMIENTO INICIO (M)</t>
  </si>
  <si>
    <t>BANCO DUCTOS (M)</t>
  </si>
  <si>
    <t>CABLE CAJA HALADO M (M)</t>
  </si>
  <si>
    <t>BANCO DUCTOS TALADRO (M)</t>
  </si>
  <si>
    <t>AFLORAMIENTO FIN (M)</t>
  </si>
  <si>
    <t>BUCLE EQUIPO FIN (M)</t>
  </si>
  <si>
    <t>TOTAL (M)</t>
  </si>
  <si>
    <t>NOMBRE POZO</t>
  </si>
  <si>
    <t>CCP-CASE-0390-B</t>
  </si>
  <si>
    <t>CCP-CASE-0390-C</t>
  </si>
  <si>
    <t>VFD-CASE-POZO1</t>
  </si>
  <si>
    <t>VFD-CASE-POZO2</t>
  </si>
  <si>
    <t>VFD-CASE-POZO3</t>
  </si>
  <si>
    <t>VFD-CASE-POZO4</t>
  </si>
  <si>
    <t>VFD-CASE-POZO5</t>
  </si>
  <si>
    <t>VFD-CASE-POZO6</t>
  </si>
  <si>
    <t>VFD-CASE-POZO7</t>
  </si>
  <si>
    <t>VFD-CASE-POZO8</t>
  </si>
  <si>
    <t>VFD-CASE-POZO9</t>
  </si>
  <si>
    <t>VFD-CASE-POZO10</t>
  </si>
  <si>
    <t>VFD-CASE-POZO11</t>
  </si>
  <si>
    <t>VFD-CASE-POZO12</t>
  </si>
  <si>
    <t>VFD-CASE-POZO13</t>
  </si>
  <si>
    <t>VFD-CASE-POZO14</t>
  </si>
  <si>
    <t>VFD-CASE-POZO15</t>
  </si>
  <si>
    <t>VFD-CASE-POZO16</t>
  </si>
  <si>
    <t>VFD-CASE-POZO17</t>
  </si>
  <si>
    <t>VFD-CASE-POZO18</t>
  </si>
  <si>
    <t>VFD-CASE-POZO19</t>
  </si>
  <si>
    <t>VFD-CASE-POZO20</t>
  </si>
  <si>
    <t>SUT-CASE-POZO1</t>
  </si>
  <si>
    <t>CV-CASE-POZO1</t>
  </si>
  <si>
    <t>SUT-CASE-POZO2</t>
  </si>
  <si>
    <t>CV-CASE-POZO2</t>
  </si>
  <si>
    <t>SUT-CASE-POZO3</t>
  </si>
  <si>
    <t>CV-CASE-POZO3</t>
  </si>
  <si>
    <t>SUT-CASE-POZO4</t>
  </si>
  <si>
    <t>CV-CASE-POZO4</t>
  </si>
  <si>
    <t>SUT-CASE-POZO5</t>
  </si>
  <si>
    <t>CV-CASE-POZO5</t>
  </si>
  <si>
    <t>SUT-CASE-POZO6</t>
  </si>
  <si>
    <t>CV-CASE-POZO6</t>
  </si>
  <si>
    <t>SUT-CASE-POZO7</t>
  </si>
  <si>
    <t>CV-CASE-POZO7</t>
  </si>
  <si>
    <t>SUT-CASE-POZO8</t>
  </si>
  <si>
    <t>CV-CASE-POZO8</t>
  </si>
  <si>
    <t>SUT-CASE-POZO9</t>
  </si>
  <si>
    <t>CV-CASE-POZO9</t>
  </si>
  <si>
    <t>SUT-CASE-POZO10</t>
  </si>
  <si>
    <t>CV-CASE-POZO10</t>
  </si>
  <si>
    <t>SUT-CASE-POZO11</t>
  </si>
  <si>
    <t>CV-CASE-POZO11</t>
  </si>
  <si>
    <t>SUT-CASE-POZO12</t>
  </si>
  <si>
    <t>CV-CASE-POZO12</t>
  </si>
  <si>
    <t>SUT-CASE-POZO13</t>
  </si>
  <si>
    <t>CV-CASE-POZO13</t>
  </si>
  <si>
    <t>SUT-CASE-POZO14</t>
  </si>
  <si>
    <t>CV-CASE-POZO14</t>
  </si>
  <si>
    <t>SUT-CASE-POZO15</t>
  </si>
  <si>
    <t>CV-CASE-POZO15</t>
  </si>
  <si>
    <t>SUT-CASE-POZO16</t>
  </si>
  <si>
    <t>CV-CASE-POZO16</t>
  </si>
  <si>
    <t>SUT-CASE-POZO17</t>
  </si>
  <si>
    <t>CV-CASE-POZO17</t>
  </si>
  <si>
    <t>SUT-CASE-POZO18</t>
  </si>
  <si>
    <t>CV-CASE-POZO18</t>
  </si>
  <si>
    <t>SUT-CASE-POZO19</t>
  </si>
  <si>
    <t>CV-CASE-POZO19</t>
  </si>
  <si>
    <t>SUT-CASE-POZO20</t>
  </si>
  <si>
    <t>CV-CASE-POZO20</t>
  </si>
  <si>
    <t>Electrical Metallic Tubing (EMT)</t>
  </si>
  <si>
    <t>Intermediate Metal Conduit (IMC)</t>
  </si>
  <si>
    <t>Rigid Metal Conduit (RMC)</t>
  </si>
  <si>
    <t>Rigid PVC Conduit (PVC) tipo DB</t>
  </si>
  <si>
    <t>CÓDIGO DEL CONDUCTOR</t>
  </si>
  <si>
    <t>Pulgadas</t>
  </si>
  <si>
    <t>Diámetro Interno</t>
  </si>
  <si>
    <t>Área 40%</t>
  </si>
  <si>
    <t>Area Total 100%</t>
  </si>
  <si>
    <t>Área 50%</t>
  </si>
  <si>
    <t>in</t>
  </si>
  <si>
    <t>in²</t>
  </si>
  <si>
    <t>TABLA 392,22 B-C1</t>
  </si>
  <si>
    <t>TABLA 392,22 A-C1</t>
  </si>
  <si>
    <t>TIERRA BANDEJA</t>
  </si>
  <si>
    <t>FILAS</t>
  </si>
  <si>
    <t>TIPO BANDEJA</t>
  </si>
  <si>
    <t>FORMA DE CONFIGURACIÓN CABLE</t>
  </si>
  <si>
    <t>ANCHO</t>
  </si>
  <si>
    <t>ALTO</t>
  </si>
  <si>
    <t>ÁREA</t>
  </si>
  <si>
    <t>cm</t>
  </si>
  <si>
    <t>cm2</t>
  </si>
  <si>
    <t>Horizontal</t>
  </si>
  <si>
    <t>SOLO PARA VISUALIZACIÓN, NO HACE PARTE DE NINGUN CÁLCULO</t>
  </si>
  <si>
    <t>Rigid PVC Conduit (PVC), DB</t>
  </si>
  <si>
    <t>Diametro Interno</t>
  </si>
  <si>
    <t>Area 40%</t>
  </si>
  <si>
    <t>Area 50%</t>
  </si>
  <si>
    <t>1⁄2"</t>
  </si>
  <si>
    <t>3⁄4"</t>
  </si>
  <si>
    <t>1"</t>
  </si>
  <si>
    <t>1 1⁄4"</t>
  </si>
  <si>
    <t>1 1⁄2"</t>
  </si>
  <si>
    <t>2"</t>
  </si>
  <si>
    <t>2 1⁄2"</t>
  </si>
  <si>
    <t>3"</t>
  </si>
  <si>
    <t>3 1⁄2"</t>
  </si>
  <si>
    <t>4"</t>
  </si>
  <si>
    <t>6"</t>
  </si>
  <si>
    <t>8"</t>
  </si>
  <si>
    <t>CALCULO EMT COLMENA</t>
  </si>
  <si>
    <t>CALCULO IMC COLMENA</t>
  </si>
  <si>
    <t>CALCULO RMC COLMENA</t>
  </si>
  <si>
    <t>CALCULO PVC PAVCO</t>
  </si>
  <si>
    <t>D EXT (")</t>
  </si>
  <si>
    <t>ESP (")</t>
  </si>
  <si>
    <t>D INT (")</t>
  </si>
  <si>
    <t>D EXT (mm)</t>
  </si>
  <si>
    <t>ESP (mm)</t>
  </si>
  <si>
    <t>D INT (mm)</t>
  </si>
  <si>
    <t>ancho</t>
  </si>
  <si>
    <t>alto</t>
  </si>
  <si>
    <t>área</t>
  </si>
  <si>
    <t>llenado</t>
  </si>
  <si>
    <t>1,4 - (28 Sd)**</t>
  </si>
  <si>
    <t>2,8 - (28 Sd)</t>
  </si>
  <si>
    <t>4,2 - (28 Sd)**</t>
  </si>
  <si>
    <t>5,6 - (28 Sd)</t>
  </si>
  <si>
    <t>6,1 - (28 Sd)</t>
  </si>
  <si>
    <t>8,4 - (28 Sd)</t>
  </si>
  <si>
    <t>11,2 - (28 Sd)</t>
  </si>
  <si>
    <t>12,6 - (28 Sd)</t>
  </si>
  <si>
    <t>14 - (28 Sd)</t>
  </si>
  <si>
    <t>16,8 - (28 Sd)</t>
  </si>
  <si>
    <t>21 - (28 Sd)</t>
  </si>
  <si>
    <t>25,2 - (28 Sd)</t>
  </si>
  <si>
    <t xml:space="preserve">  </t>
  </si>
  <si>
    <t>si 1/0 a 4/0</t>
  </si>
  <si>
    <t>diametro</t>
  </si>
  <si>
    <t>tierra</t>
  </si>
  <si>
    <t>si 250 a 900 kcmil</t>
  </si>
  <si>
    <t>area</t>
  </si>
  <si>
    <t>fase</t>
  </si>
  <si>
    <t xml:space="preserve">si mayor a 900 kcmil </t>
  </si>
  <si>
    <t>Tipo de análisis</t>
  </si>
  <si>
    <t>Cantidad de conductores a Tablero</t>
  </si>
  <si>
    <t>Distancia a tablero (km)</t>
  </si>
  <si>
    <t>Metal cable acometida a tablero</t>
  </si>
  <si>
    <t>Calibre cable acometida a tablero</t>
  </si>
  <si>
    <t>Resistencia cable acometida a tablero (Ohm/km)</t>
  </si>
  <si>
    <t>Cantidad de conductores a VFD</t>
  </si>
  <si>
    <t>Distancia a VFD (km)</t>
  </si>
  <si>
    <t>Metal</t>
  </si>
  <si>
    <t>Calibre Cable acometida VFD</t>
  </si>
  <si>
    <t>Resistencia Cable acometida VFD</t>
  </si>
  <si>
    <t>Cantidad de conductores CV</t>
  </si>
  <si>
    <t>Distancia a CV (km)</t>
  </si>
  <si>
    <t>Cantidad de conductores CV a bomba</t>
  </si>
  <si>
    <t>Distancia a BOMBA (km)</t>
  </si>
  <si>
    <t>Metal CV-Bomba</t>
  </si>
  <si>
    <t>Calibre cable acometida a CV</t>
  </si>
  <si>
    <t>Calibre cable acometida CV a Bomba</t>
  </si>
  <si>
    <t>Resistencia cable acometida a CV</t>
  </si>
  <si>
    <t>Factor Utilización motor</t>
  </si>
  <si>
    <t>Tipo de Carga</t>
  </si>
  <si>
    <t>Tipo de Bomba</t>
  </si>
  <si>
    <t>Factor de potencia carga</t>
  </si>
  <si>
    <t>VOLTAJE</t>
  </si>
  <si>
    <t>Potencia</t>
  </si>
  <si>
    <t>Pérdidas Acometida a VFD</t>
  </si>
  <si>
    <t>Factor de</t>
  </si>
  <si>
    <t>Distorsión armónica</t>
  </si>
  <si>
    <t>AC</t>
  </si>
  <si>
    <t>3 Fases</t>
  </si>
  <si>
    <t>4 Solid</t>
  </si>
  <si>
    <t>6.2.7</t>
  </si>
  <si>
    <t>6.2.8</t>
  </si>
  <si>
    <t>6.2.9</t>
  </si>
  <si>
    <t>6.2.10</t>
  </si>
  <si>
    <t>6.2.11</t>
  </si>
  <si>
    <t>6.2.12</t>
  </si>
  <si>
    <t>6.2.13</t>
  </si>
  <si>
    <t>I</t>
  </si>
  <si>
    <t>6.2.23</t>
  </si>
  <si>
    <t>PERDIDAS EN LOS CONDUCTORES BT</t>
  </si>
  <si>
    <t>Demanda Total</t>
  </si>
  <si>
    <t>Factor de Potencia</t>
  </si>
  <si>
    <t/>
  </si>
  <si>
    <t>Tensión en BT (V)</t>
  </si>
  <si>
    <t>Porcentaje THDi</t>
  </si>
  <si>
    <t>Motores propósitos generales</t>
  </si>
  <si>
    <t>[PG]</t>
  </si>
  <si>
    <t>Motores operación semicontinua</t>
  </si>
  <si>
    <t>[I]</t>
  </si>
  <si>
    <t>Motores operación continua</t>
  </si>
  <si>
    <t>[C]</t>
  </si>
  <si>
    <t>Otros</t>
  </si>
  <si>
    <t>[O]</t>
  </si>
  <si>
    <t>NTC 2050</t>
  </si>
  <si>
    <t>ANDE</t>
  </si>
  <si>
    <t>Resistencia calefacción</t>
  </si>
  <si>
    <t>[RC]</t>
  </si>
  <si>
    <t>Horno de inducción</t>
  </si>
  <si>
    <t>[HI]</t>
  </si>
  <si>
    <t>Horno de arco</t>
  </si>
  <si>
    <t>[HA]</t>
  </si>
  <si>
    <t>Stand By</t>
  </si>
  <si>
    <t>[S]</t>
  </si>
  <si>
    <t>Trafo (kVA)</t>
  </si>
  <si>
    <t>Fusible 
In*2 normalizado</t>
  </si>
  <si>
    <t>I BARRAJE (A)</t>
  </si>
  <si>
    <t>Alumbrado</t>
  </si>
  <si>
    <t>Soldadura de arco</t>
  </si>
  <si>
    <t>[SA]</t>
  </si>
  <si>
    <t>Soldadura de resistencia</t>
  </si>
  <si>
    <t>[SR]</t>
  </si>
  <si>
    <t>6 A</t>
  </si>
  <si>
    <t>8 A</t>
  </si>
  <si>
    <t>Potencia requerida</t>
  </si>
  <si>
    <t>10 A</t>
  </si>
  <si>
    <t>Potencia total prime requerida (Ver nota 15)</t>
  </si>
  <si>
    <t>15 A</t>
  </si>
  <si>
    <t>Potencia seleccionada</t>
  </si>
  <si>
    <t>Cargabilidad del generador</t>
  </si>
  <si>
    <t>25 A</t>
  </si>
  <si>
    <t>30 A</t>
  </si>
  <si>
    <t>Corriente Nominal Generador</t>
  </si>
  <si>
    <t>40 A</t>
  </si>
  <si>
    <t>50 A</t>
  </si>
  <si>
    <t>Selección del barraje</t>
  </si>
  <si>
    <t>SDT (KVA)</t>
  </si>
  <si>
    <t>IN BARRA CCP (A)</t>
  </si>
  <si>
    <t>CASE 0580
CASE 0390</t>
  </si>
  <si>
    <t>CASE 0566</t>
  </si>
  <si>
    <t>KW</t>
  </si>
  <si>
    <t>SLB</t>
  </si>
  <si>
    <t>BES</t>
  </si>
  <si>
    <t>FACTORE DE DEMANDA</t>
  </si>
  <si>
    <t>sigla</t>
  </si>
  <si>
    <t>Factor de demanda en %</t>
  </si>
  <si>
    <t>Motores</t>
  </si>
  <si>
    <t>PG</t>
  </si>
  <si>
    <t>HI</t>
  </si>
  <si>
    <t>HA</t>
  </si>
  <si>
    <t>SA</t>
  </si>
  <si>
    <t>SR</t>
  </si>
  <si>
    <t>S</t>
  </si>
  <si>
    <t>FACTOR DE DIVERSIDAD</t>
  </si>
  <si>
    <t>Comercio</t>
  </si>
  <si>
    <t>Alumbrado público</t>
  </si>
  <si>
    <t>Apartamentos</t>
  </si>
  <si>
    <t>Bancos</t>
  </si>
  <si>
    <t>Bodegas</t>
  </si>
  <si>
    <t>Casinos</t>
  </si>
  <si>
    <t>Correos</t>
  </si>
  <si>
    <t>Escuelas</t>
  </si>
  <si>
    <t>Garages</t>
  </si>
  <si>
    <t>Hospitales</t>
  </si>
  <si>
    <t>Hotel pequeño</t>
  </si>
  <si>
    <t>Hotal grande</t>
  </si>
  <si>
    <t>Iglesias</t>
  </si>
  <si>
    <t>Mercados</t>
  </si>
  <si>
    <t>Multifamilires</t>
  </si>
  <si>
    <t>Oficinas</t>
  </si>
  <si>
    <t>Restaurantes</t>
  </si>
  <si>
    <t>Teatros</t>
  </si>
  <si>
    <t>Tiendas</t>
  </si>
  <si>
    <t>Industria</t>
  </si>
  <si>
    <t>Fabrica Acetileno</t>
  </si>
  <si>
    <t>Fabrica Autos</t>
  </si>
  <si>
    <t>Taller Carpinteria</t>
  </si>
  <si>
    <t xml:space="preserve">Empacadoras Carne </t>
  </si>
  <si>
    <t>Carga de productos</t>
  </si>
  <si>
    <t>Fabrica cemento</t>
  </si>
  <si>
    <t>Fabrica cigarros</t>
  </si>
  <si>
    <t>Fabrica de dulces</t>
  </si>
  <si>
    <t>Taller de fundición</t>
  </si>
  <si>
    <t>Fabrica de galletas</t>
  </si>
  <si>
    <t>Fabrica de hielo</t>
  </si>
  <si>
    <t>Taller herrería</t>
  </si>
  <si>
    <t>Imprentas</t>
  </si>
  <si>
    <t>Fabrica de jabón</t>
  </si>
  <si>
    <t>Fabrica de laminados</t>
  </si>
  <si>
    <t>Lavandería mecánica</t>
  </si>
  <si>
    <t>talleres de Niquelado</t>
  </si>
  <si>
    <t>Maderas</t>
  </si>
  <si>
    <t>Taller de marmol</t>
  </si>
  <si>
    <t>Taller mecánico</t>
  </si>
  <si>
    <t>fábrica de muebles</t>
  </si>
  <si>
    <t>Fabrica de papel</t>
  </si>
  <si>
    <t>Rotativos periódicos</t>
  </si>
  <si>
    <t>Fábrica de pinturas</t>
  </si>
  <si>
    <t>Industria Química</t>
  </si>
  <si>
    <t>Refinerias de petroleo</t>
  </si>
  <si>
    <t>Facilidades de tratamiento petróleo</t>
  </si>
  <si>
    <t>fabrica de referco</t>
  </si>
  <si>
    <t>Fabrica de textiles</t>
  </si>
  <si>
    <t>Fábrica de vestidos</t>
  </si>
  <si>
    <t>fábrica de zapatos</t>
  </si>
  <si>
    <t>C+I+S</t>
  </si>
  <si>
    <t>C+I</t>
  </si>
  <si>
    <t>C1-DIV1</t>
  </si>
  <si>
    <t>PCP</t>
  </si>
  <si>
    <t>C1-DIV2</t>
  </si>
  <si>
    <t>UBM</t>
  </si>
  <si>
    <t>NC</t>
  </si>
  <si>
    <t>UBRF</t>
  </si>
  <si>
    <t>BR</t>
  </si>
  <si>
    <t>OTRO</t>
  </si>
  <si>
    <t>TRAUX</t>
  </si>
  <si>
    <t>VSD</t>
  </si>
  <si>
    <t>RESERVA</t>
  </si>
  <si>
    <t>ILEX</t>
  </si>
  <si>
    <t>TOMA</t>
  </si>
  <si>
    <t>IT</t>
  </si>
  <si>
    <t>Resistencia eléctrica</t>
  </si>
  <si>
    <t>Calibre</t>
  </si>
  <si>
    <t>Reactancia XL [Ohms/km]</t>
  </si>
  <si>
    <t>Resistencia en C.A. [Ohms/km]</t>
  </si>
  <si>
    <t>Área</t>
  </si>
  <si>
    <t>DC a 20°C</t>
  </si>
  <si>
    <t>AC a 90°C</t>
  </si>
  <si>
    <t>AWG o</t>
  </si>
  <si>
    <t>Conduit PVC</t>
  </si>
  <si>
    <t>Conduid de</t>
  </si>
  <si>
    <t>para conductores de Cobre</t>
  </si>
  <si>
    <t>para conductores de Aluminio</t>
  </si>
  <si>
    <t>AWG / kcmil</t>
  </si>
  <si>
    <t>Ohm/Km</t>
  </si>
  <si>
    <t>kcmil</t>
  </si>
  <si>
    <t>y Aluminio</t>
  </si>
  <si>
    <t>acero</t>
  </si>
  <si>
    <t>Conduit Al</t>
  </si>
  <si>
    <t>Conduit acero</t>
  </si>
  <si>
    <t>CU</t>
  </si>
  <si>
    <t>Electric Submersible Pump Cable—Ethylene–Propylene Rubber Insulation</t>
  </si>
  <si>
    <t>Nominal diameter of conductor</t>
  </si>
  <si>
    <t>Stranded</t>
  </si>
  <si>
    <t>Compact</t>
  </si>
  <si>
    <t xml:space="preserve">Conductor </t>
  </si>
  <si>
    <t>Solid</t>
  </si>
  <si>
    <t>7 wire</t>
  </si>
  <si>
    <t>Wire</t>
  </si>
  <si>
    <t>Resistance @ 25ºC</t>
  </si>
  <si>
    <t>kg/km</t>
  </si>
  <si>
    <t>Ohm/km</t>
  </si>
  <si>
    <t>6 Solid</t>
  </si>
  <si>
    <t>4 Stranded</t>
  </si>
  <si>
    <t>2 Solid</t>
  </si>
  <si>
    <t>2 Stranded</t>
  </si>
  <si>
    <t>1 Solid</t>
  </si>
  <si>
    <t>1 Stranded</t>
  </si>
  <si>
    <t>1/0 Stranded</t>
  </si>
  <si>
    <t>2/0 Stranded</t>
  </si>
  <si>
    <t>3/0 Stranded</t>
  </si>
  <si>
    <t>4/0 Stranded</t>
  </si>
  <si>
    <t>Fuente: IEEE Std 1017.2-2021: IEEE Recommended Practice for Specifying Electric Submersible Pump Cable—Ethylene–Propylene Rubber Insulation</t>
  </si>
  <si>
    <t>Table 1: Table 1—Conductor characteristics (metric units)</t>
  </si>
  <si>
    <t>BOMBAS ASIGNADAS A CAÑO SUR - 1 FASE</t>
  </si>
  <si>
    <t>Tipo 1</t>
  </si>
  <si>
    <t>Tipo 2</t>
  </si>
  <si>
    <t>Tipo 3</t>
  </si>
  <si>
    <t>TIPO 1 - CAÑO SUR (400-1500-2700 BFPD)</t>
  </si>
  <si>
    <t>Factor Potencia</t>
  </si>
  <si>
    <t>Tensión</t>
  </si>
  <si>
    <t>Corriente (Amp)</t>
  </si>
  <si>
    <t>BAKER</t>
  </si>
  <si>
    <t>BORETS</t>
  </si>
  <si>
    <t>(Volt)</t>
  </si>
  <si>
    <t>96 FLEX31</t>
  </si>
  <si>
    <t>Pump, ESP B 538-2600M 130 HSG 97 STG CP CT HSS TA MT HT</t>
  </si>
  <si>
    <t xml:space="preserve">PUMP: SN2600 CR-CT 63 STG 538/540 60 CS BTHD, </t>
  </si>
  <si>
    <t>GPXARCINT FER H6</t>
  </si>
  <si>
    <t>Bolt on intake, ESP B 538 HSS MTC</t>
  </si>
  <si>
    <t xml:space="preserve">INTAKE: BOI, 540/540 CS 1.18 INC, M-TRM, AFL, ARZ-TT, </t>
  </si>
  <si>
    <t>Levare</t>
  </si>
  <si>
    <t>0,84 - 0,92</t>
  </si>
  <si>
    <t>0,88 - 0,92</t>
  </si>
  <si>
    <t>400 / FST3 4B / CENTRILIFT</t>
  </si>
  <si>
    <t>Motor Seal, ESP B 538 PB136 BPBSL HL MT HT</t>
  </si>
  <si>
    <t>PROTECTOR: GZMT 103, BPBSL-UT, 540/103, NTB/HL</t>
  </si>
  <si>
    <t>Baker</t>
  </si>
  <si>
    <t>LEVARE</t>
  </si>
  <si>
    <t>440 / MGFT / 150HP 1545V 49A / CENTRILIFT</t>
  </si>
  <si>
    <t>Motor, ESP B 456 PL200PA 120HP 2028V 35A  UT MT HT</t>
  </si>
  <si>
    <t xml:space="preserve">MOTOR: 117, 17, VPEDMT, 150KW, 2000V, 40.1A, 50HZ, </t>
  </si>
  <si>
    <t>eficiencia</t>
  </si>
  <si>
    <t>factor de potencia</t>
  </si>
  <si>
    <t>tension</t>
  </si>
  <si>
    <t>corriente</t>
  </si>
  <si>
    <t>potencia electrica W</t>
  </si>
  <si>
    <t>Potencia Mecánica (HP)</t>
  </si>
  <si>
    <t>Eficiencia Crítica</t>
  </si>
  <si>
    <t>Factor de potencia Crítico</t>
  </si>
  <si>
    <t>POTENCIA ACTIVA (KW)</t>
  </si>
  <si>
    <t>POTENCIA APARENTE (KVA)</t>
  </si>
  <si>
    <t>VOLTAJE CRITICO PARA PÉRDIDAS (V)</t>
  </si>
  <si>
    <t>POTENCIA REACTIVA (KVAR)</t>
  </si>
  <si>
    <t xml:space="preserve">E7 MW 375 400Bar 150c  AFL </t>
  </si>
  <si>
    <t>Sensor, ESP E6-Series downhole / W SURFACE</t>
  </si>
  <si>
    <t>GAUGE: XT150I TYPE 0 ASSEMBLY, MAXIMUS COMPATIBLE</t>
  </si>
  <si>
    <t>CENTRILIFT / CELF / #4 AWG / 5kV / Flat</t>
  </si>
  <si>
    <t>Cable, ESP flat SL-450 #4 solid ELB G .020 5kV SP</t>
  </si>
  <si>
    <t>CABLE:REDALEAD 4, 5KV (4/1 ELC G5F) </t>
  </si>
  <si>
    <t>TIPO 2 - CAÑO SUR (600-3500-6000 BFPD)</t>
  </si>
  <si>
    <t>59 FLEX47</t>
  </si>
  <si>
    <t>Pump, ESP B 538-5000 90 HSG 55 STG CP CT HSS TA MT HT</t>
  </si>
  <si>
    <t>PUMP: S6000N CR-CT 43 STG 538/540 80 CS BTHD,</t>
  </si>
  <si>
    <t>1.00 INC 718, M-TRM, AFL, ARZ-TT, FACT SHIM</t>
  </si>
  <si>
    <t>INTAKE: BOI, 540/540 CS 1.18 INC,</t>
  </si>
  <si>
    <t>M-TRM, AFL, ARZ-TT, FACT SHIM</t>
  </si>
  <si>
    <t>513 / GST3 4B / CENTRILIFT</t>
  </si>
  <si>
    <t xml:space="preserve">PROTECTOR: GZMT 103, BPBSL-UT, 540/103, NTB/HL, </t>
  </si>
  <si>
    <t>Dejar nota en los cálculos donde se defina la metodologia del calculo de las potencias.</t>
  </si>
  <si>
    <t>Nota aclarando lo del valor tension de la bomba en MT</t>
  </si>
  <si>
    <t>Colocar nota de la distancia considerada hasta el equipo de fonde hasta la CV</t>
  </si>
  <si>
    <t>440 / MGFT / 250HP 2575V 49A / CENTRILIFT</t>
  </si>
  <si>
    <t>Motor, ESP B 562 PL200PA 200HP 2295V 45A</t>
  </si>
  <si>
    <t>MOTOR: 117, 17 VPEDMT, 150KW, 2500V, 40.1A, 50HZ</t>
  </si>
  <si>
    <t>Colocar comentaro con la formula que se está usando</t>
  </si>
  <si>
    <t>Revisar el cálculo de llenado de las bandejas</t>
  </si>
  <si>
    <t>Opcion para cuando se tengan varias bandejas, revisar como manejarlo</t>
  </si>
  <si>
    <t>Revisar calcuo de canalizaciones y % de llenado</t>
  </si>
  <si>
    <t>TIPO 3 - CAÑO SUR (1500-6000-8000 BFPD)</t>
  </si>
  <si>
    <t>PCP 100 HP</t>
  </si>
  <si>
    <t>59 FLEX80</t>
  </si>
  <si>
    <t>Pump, ESP B 538-8000 90 HSG 40 STG CP CT HSS TA MT HT</t>
  </si>
  <si>
    <t>PUMP: S8000N CR-CT 47 STG 538/540 90 CS BTHD, 1.00 HS MON, M-TRM, AFL, ARZ-SS, FACT SHIM</t>
  </si>
  <si>
    <t>INTAKE: BOI, 540/540 CS 1.18 INC, M-TRM, AFL, ARZ-TT, FACT SHIM</t>
  </si>
  <si>
    <t>PROTECTOR: GZMT 103, BPBSL-UT, 540/103, NTB/HL,</t>
  </si>
  <si>
    <t>Motor, ESP B 562 PL200PA 200HP 2295V 45A 4R S MTC HT</t>
  </si>
  <si>
    <t>MOTOR: 117, 17 VPEDMT, 150KW, 2500V, 40.1A, 50HZ, RR-S, BTB</t>
  </si>
  <si>
    <t>GAUGE: XT150I TYPE 0 ASSEMBLY, MAXIMUS COMPATIBLE, 40CR13</t>
  </si>
  <si>
    <t>Notas a tener presente de los datos de SLB</t>
  </si>
  <si>
    <t xml:space="preserve">1. Se identificó que los parámetros dados por el proveedor respecto a los datos de placa dados en las imágenes están errados, y algunos no coinciden. </t>
  </si>
  <si>
    <t xml:space="preserve">2. Se tomo como referencia la corriente dada por el proveedor, la potencia activa y el factor de potencia y con ello se calculo el voltaje al cual deberia funcionar. </t>
  </si>
  <si>
    <t>3. Como no se recibió el valor de eficiencia del motor se promedió el valor de los otros fabricantes</t>
  </si>
  <si>
    <t>CASILLAS MT</t>
  </si>
  <si>
    <t>CASILLAS BT</t>
  </si>
  <si>
    <t>CONDUCTORES DE MEDIA TENSIÓN</t>
  </si>
  <si>
    <t>ITEM</t>
  </si>
  <si>
    <t>DESCRIPCION</t>
  </si>
  <si>
    <t>LONGITUD DEL CONDUCTOR
[m]</t>
  </si>
  <si>
    <t>DIAMETRO</t>
  </si>
  <si>
    <t>CONDUCTORES DE BAJA TENSIÓN</t>
  </si>
  <si>
    <t>Tamaño del Cable</t>
  </si>
  <si>
    <t>No. De filas</t>
  </si>
  <si>
    <t>Número de columnas</t>
  </si>
  <si>
    <t>Código</t>
  </si>
  <si>
    <t>AWG-kCMIL</t>
  </si>
  <si>
    <t>VALORES
NO SE ENCUENTRAN
EN LA TABLA DE LA IEEE-399
SE OBTUVO UN PROMEDIO CON BASE EN LOS CABLES AWG No.8-6-4 y 2
Table 13-8—Fg: Grouping adjustment factor for 0–5000 V 3/C, or triplexed
cables in duct banks (no spare ducts, nonmetallic conduits of 5 in
with center-to-center spacing of 7.5 in)</t>
  </si>
  <si>
    <t>TABLA 430-150. NTC 2050 CORRIENTE A PLENA CARGA DE MOTORES TRIFÁSICOS DE CORRIENTE ALTERNA</t>
  </si>
  <si>
    <t>2300 V</t>
  </si>
  <si>
    <t>Cos Φ</t>
  </si>
  <si>
    <t>eficiencia [n]</t>
  </si>
  <si>
    <t>T deseada</t>
  </si>
  <si>
    <t>°C</t>
  </si>
  <si>
    <t>Type</t>
  </si>
  <si>
    <t>Size</t>
  </si>
  <si>
    <t>Area Aproximada (Tabla 5) NEC-2020</t>
  </si>
  <si>
    <t>IMPEDANCIA Cu (75°C) Tabla 9 NEC-2020</t>
  </si>
  <si>
    <t>IMPEDANCIA Al (75°C) Tabla 9 NEC-2020</t>
  </si>
  <si>
    <t>RESISTENCIA DEL CONDUCTOR A 20°C [ohm/km]</t>
  </si>
  <si>
    <t>área en mili circula mil</t>
  </si>
  <si>
    <t>Area Aproximada (Table XX Dimensions of Insulated Conductors and Fixture Wires) NEC2020</t>
  </si>
  <si>
    <t>CONDUCTOR SIGUIENTE (AWG o Kcmil)</t>
  </si>
  <si>
    <t>Cu 60°C
TW - UF</t>
  </si>
  <si>
    <t>Al 60°C
TW - UF</t>
  </si>
  <si>
    <t>Cu 75°C
RHW - THHW - THW - THWN - XHHW - USE - ZW</t>
  </si>
  <si>
    <t>Al 75°C
RHW - THHW - THW - THWN - XHHW - USE - ZW</t>
  </si>
  <si>
    <t>Cu 90°C
TBS - SA - SIS - FEP - FEPB - MI - RHH - RHW-2 - THHN - THHW - THW-2 - THWN-2 - USE-2 -XHH - XHHW - XHHW-2 - ZW-2</t>
  </si>
  <si>
    <t>Al 90°C
TBS - SA - SIS - FEP - FEPB - MI - RHH - RHW-2 - THHN - THHW - THW-2 - THWN-2 - USE-2 -XHH - XHHW - XHHW-2 - ZW-2</t>
  </si>
  <si>
    <t>in.</t>
  </si>
  <si>
    <t>in.²</t>
  </si>
  <si>
    <t>R (Corrección a 90°C)</t>
  </si>
  <si>
    <t>TABLA 310.16 CANALIZACIÓN</t>
  </si>
  <si>
    <t>TABLA 310.17 AL AIRE LIBRE</t>
  </si>
  <si>
    <t>TABLA B 310.20</t>
  </si>
  <si>
    <t>CABLE VFD</t>
  </si>
  <si>
    <t>Cantidad de Conductors x Fase</t>
  </si>
  <si>
    <t xml:space="preserve">TIPO DE CABLES </t>
  </si>
  <si>
    <t>TIERRA VFD</t>
  </si>
  <si>
    <t>14 AWG</t>
  </si>
  <si>
    <t>18 AWG</t>
  </si>
  <si>
    <t>Desnudo</t>
  </si>
  <si>
    <t>3 AWG</t>
  </si>
  <si>
    <t>Tierras Tabla 250-95 NTC 2050</t>
  </si>
  <si>
    <t>NEC 240.6</t>
  </si>
  <si>
    <t>IEC 519-1992 TABLA 10.3</t>
  </si>
  <si>
    <t>Corriente</t>
  </si>
  <si>
    <t>Valores</t>
  </si>
  <si>
    <t>Isc / IL</t>
  </si>
  <si>
    <t>TDD</t>
  </si>
  <si>
    <t>&lt;20</t>
  </si>
  <si>
    <t>20&lt;50</t>
  </si>
  <si>
    <t>50&lt;100</t>
  </si>
  <si>
    <t>100&lt;1000</t>
  </si>
  <si>
    <t>1000&gt;</t>
  </si>
  <si>
    <t>400 kcmil</t>
  </si>
  <si>
    <t>Cuadruplex (Red Aérea)</t>
  </si>
  <si>
    <t>Area Aproximada (Table 5) NEC-2017</t>
  </si>
  <si>
    <t>IMPEDANCIA Cu (75°C) Tabla 9 NEC-2017</t>
  </si>
  <si>
    <t>IMPEDANCIA Al (25°C) Tabla 9 NEC-2017</t>
  </si>
  <si>
    <t>Cu 90°C, XHHW-2, THHN, THHW</t>
  </si>
  <si>
    <t>Al 90°C, XHHW-2, THHN, THHW</t>
  </si>
  <si>
    <t>CABLE ACSR NEUTRO</t>
  </si>
  <si>
    <t>TABLA 310-16 CANALIZACIÓN</t>
  </si>
  <si>
    <t>TABLA 310-17 AL AIRE LIBRE</t>
  </si>
  <si>
    <t>TABLA B 310-20</t>
  </si>
  <si>
    <t>CABLE EN COBRE</t>
  </si>
  <si>
    <t>CABLE EN ALUMINO</t>
  </si>
  <si>
    <r>
      <t xml:space="preserve">Tabla 1: Determinación de </t>
    </r>
    <r>
      <rPr>
        <b/>
        <sz val="10"/>
        <rFont val="Arial"/>
        <family val="2"/>
      </rPr>
      <t>A</t>
    </r>
    <r>
      <rPr>
        <sz val="10"/>
        <rFont val="Arial"/>
        <family val="2"/>
      </rPr>
      <t xml:space="preserve"> Cables de BT</t>
    </r>
  </si>
  <si>
    <t>Código del cable</t>
  </si>
  <si>
    <t>Sección nominal del cable [AWG]</t>
  </si>
  <si>
    <t>Área transversal [mm²]</t>
  </si>
  <si>
    <t>Costo Inicial (CI) [$/m]</t>
  </si>
  <si>
    <t>A [$/m . mm2]</t>
  </si>
  <si>
    <t>Cable</t>
  </si>
  <si>
    <t>Instalación</t>
  </si>
  <si>
    <t>Total</t>
  </si>
  <si>
    <t>F6/C6</t>
  </si>
  <si>
    <t>(F8-F7)/(C8-C7)</t>
  </si>
  <si>
    <r>
      <t xml:space="preserve">Tabla 2: Determinación de </t>
    </r>
    <r>
      <rPr>
        <b/>
        <sz val="10"/>
        <rFont val="Arial"/>
        <family val="2"/>
      </rPr>
      <t>A</t>
    </r>
    <r>
      <rPr>
        <sz val="10"/>
        <rFont val="Arial"/>
        <family val="2"/>
      </rPr>
      <t xml:space="preserve"> Cables de MT - 5kV</t>
    </r>
  </si>
  <si>
    <r>
      <t xml:space="preserve">Tabla 3: Determinación de </t>
    </r>
    <r>
      <rPr>
        <b/>
        <sz val="10"/>
        <rFont val="Arial"/>
        <family val="2"/>
      </rPr>
      <t>A</t>
    </r>
    <r>
      <rPr>
        <sz val="10"/>
        <rFont val="Arial"/>
        <family val="2"/>
      </rPr>
      <t xml:space="preserve"> Cables de MT - 15kV</t>
    </r>
  </si>
  <si>
    <r>
      <t xml:space="preserve">Tabla 4: Determinación de </t>
    </r>
    <r>
      <rPr>
        <b/>
        <sz val="10"/>
        <rFont val="Arial"/>
        <family val="2"/>
      </rPr>
      <t>A</t>
    </r>
    <r>
      <rPr>
        <sz val="10"/>
        <rFont val="Arial"/>
        <family val="2"/>
      </rPr>
      <t xml:space="preserve"> Cables de MT - 35kV</t>
    </r>
  </si>
  <si>
    <r>
      <t xml:space="preserve">Tabla 5: Determinación de </t>
    </r>
    <r>
      <rPr>
        <b/>
        <sz val="10"/>
        <rFont val="Arial"/>
        <family val="2"/>
      </rPr>
      <t>A</t>
    </r>
    <r>
      <rPr>
        <sz val="10"/>
        <rFont val="Arial"/>
        <family val="2"/>
      </rPr>
      <t xml:space="preserve"> Cables de MT - Cable Armado</t>
    </r>
  </si>
  <si>
    <r>
      <t xml:space="preserve">Tabla 6: Determinación de </t>
    </r>
    <r>
      <rPr>
        <b/>
        <sz val="10"/>
        <rFont val="Arial"/>
        <family val="2"/>
      </rPr>
      <t>A</t>
    </r>
    <r>
      <rPr>
        <sz val="10"/>
        <rFont val="Arial"/>
        <family val="2"/>
      </rPr>
      <t xml:space="preserve"> Cables de MT - Cable ACSR</t>
    </r>
  </si>
  <si>
    <t>REVISIÓN INTERNA INTERDISCIPLINARIA</t>
  </si>
  <si>
    <t>Tamaño
del Cable</t>
  </si>
  <si>
    <t>IEEE 399 Table 13-9—Fg: Grouping adjustment factor for 5001–35 000 V 3/C, or triplexed cables in duct banks (no spare ducts, nonmetallic conduits of 5 in with center-to-center spacing of 7.5 in)</t>
  </si>
  <si>
    <t>Número de conductores portadores de Corriente</t>
  </si>
  <si>
    <t>PORCENTAJE</t>
  </si>
  <si>
    <t>TCOM-LOC01</t>
  </si>
  <si>
    <t>No se contempla reserva especifica de potencia en el SDT de acuerdo con los requerimientos del proyecto.</t>
  </si>
  <si>
    <t xml:space="preserve">20. </t>
  </si>
  <si>
    <t xml:space="preserve">21. </t>
  </si>
  <si>
    <t>BASES Y CRITERIOS DE DISEÑOS ELÉCTRICA</t>
  </si>
  <si>
    <t>TOM-CCP</t>
  </si>
  <si>
    <t>TOMACORRIENTE MONOFÁSICA</t>
  </si>
  <si>
    <t>RES-EQUI</t>
  </si>
  <si>
    <t>RESERVA 
EQUIPADA 1</t>
  </si>
  <si>
    <t>TOMACORRIENTE BIFÁSICA</t>
  </si>
  <si>
    <t>ILU-INT</t>
  </si>
  <si>
    <t>ILUMINACIÓN INTERIOR</t>
  </si>
  <si>
    <t>RESERVA 
EQUIPADA 3</t>
  </si>
  <si>
    <t>RESERVA 
EQUIPADA 4</t>
  </si>
  <si>
    <t>RESERVA 
EQUIPADA 5</t>
  </si>
  <si>
    <t>RESERVA 
EQUIPADA 6</t>
  </si>
  <si>
    <t>RESERVA 
EQUIPADA 7</t>
  </si>
  <si>
    <t>A1</t>
  </si>
  <si>
    <t>RESERVA 
EQUIPADA 8</t>
  </si>
  <si>
    <t>De acuerdo con los lineamientos de operación en campo definidos por Ecopetrol S.A. se considera un factor de utilización de 0,80 para las cargas asociadas a los sistemas de levantamiento artificial (SLA) objeto de este documento.</t>
  </si>
  <si>
    <t>Pérdidas Acometida (BT)</t>
  </si>
  <si>
    <t>EQUIPO DE SUPERFICIE (VFD)</t>
  </si>
  <si>
    <t>MOTOR ROTADOR</t>
  </si>
  <si>
    <t>ALIMENTACIÓN TABLERO DE COMUNICACIONES</t>
  </si>
  <si>
    <t>ILUMINACIÓN CASETA TABLERO</t>
  </si>
  <si>
    <t>ILU-INT-T</t>
  </si>
  <si>
    <t>RESERVA 
EQUIPADA 2</t>
  </si>
  <si>
    <t>DNC-00001-ELE-CD-000002</t>
  </si>
  <si>
    <t>Los cables deberán cumplir con el código de colores y/o el marquillado de identificación de acuerdo con el nivel de tensión de cada aplicación, según se indica en el Reglamento Técnico de Instalaciones Eléctricas RETIE 2024.</t>
  </si>
  <si>
    <t xml:space="preserve">19. </t>
  </si>
  <si>
    <t>MEMORIA DE CÁLCULO DE CONDUCTORES, CANALIZACIONES Y CUADRO DE CARGAS - DT-58</t>
  </si>
  <si>
    <t>SDT-8</t>
  </si>
  <si>
    <t>VFD-DT-58</t>
  </si>
  <si>
    <t>PCP-DT-58</t>
  </si>
  <si>
    <t>VFD-DT-97</t>
  </si>
  <si>
    <t>ANÁLISIS DE CARGAS ELÉCTRICAS TBT-DT-97</t>
  </si>
  <si>
    <t>ANÁLISIS DE CARGAS ELÉCTRICAS TBT08</t>
  </si>
  <si>
    <t>ANÁLISIS DE CARGAS ELÉCTRICAS SDT-08</t>
  </si>
  <si>
    <t>TBT-DT-97</t>
  </si>
  <si>
    <t>TBT08</t>
  </si>
  <si>
    <t>Corriente nominal</t>
  </si>
  <si>
    <t>DIMENSIONAMIENTO CAPACIDAD DEL BARRAJE TBT-DT-97 (EXISTENTE)</t>
  </si>
  <si>
    <t>DIMENSIONAMIENTO CAPACIDAD DEL BARRAJE TBT08 (EXISTENTE)</t>
  </si>
  <si>
    <t>PCP-DT-97</t>
  </si>
  <si>
    <t>MR-DT-97</t>
  </si>
  <si>
    <t>Tramos red trenzada BT:</t>
  </si>
  <si>
    <t>LPB E0701</t>
  </si>
  <si>
    <t>LPB E0701-BT</t>
  </si>
  <si>
    <t>ESTRUCTURA BAJA TENSIÓN (EXISTENTE)</t>
  </si>
  <si>
    <t>POSTE BAJA TENSIÓN (EXISTENTE)</t>
  </si>
  <si>
    <t>TABLERO BAJA TENSIÓN (EXISTENTE)</t>
  </si>
  <si>
    <t>VARIADOR DE FRECUENCIA (PROYECTADO)</t>
  </si>
  <si>
    <t>MOTOR PCP (PROYECTADO)</t>
  </si>
  <si>
    <t>MOTOR ROTADOR (PROYECTADO)</t>
  </si>
  <si>
    <t>VARIADOR DE FRECUENCIA (EXISTENTE)</t>
  </si>
  <si>
    <t>MOTOR PCP (EXISTENTE)</t>
  </si>
  <si>
    <t>PE04</t>
  </si>
  <si>
    <t xml:space="preserve">Selección del barraje </t>
  </si>
  <si>
    <t>Contrato No. 3037739 ODS-039: “INGENIERÍA BÁSICA DESARROLLO INTEGRAL DINA T - PALOGRANDE”</t>
  </si>
  <si>
    <t>DOCUMENTO INTERDISCIPLINARIO EMITIDO PARA COMENTARIOS</t>
  </si>
  <si>
    <t>DOCUMENTO INTERDISCIPLINARIO EMITIDO PARA COMENTARIOS (CONTRATO 3037739-ODS-082) SERINGTEC</t>
  </si>
  <si>
    <t>DNC-02208-ELE-MC-000001</t>
  </si>
  <si>
    <t>JAVIER NARVÁEZ C.</t>
  </si>
  <si>
    <t>LUIS ÁVILA N.</t>
  </si>
  <si>
    <t>LÍDER DISCIPLINA ELÉCTRICA</t>
  </si>
  <si>
    <t>Las potencias de los equipos de fondo fueron suministradas por el proyecto. Las cargas en el tablero se calculan teniendo en cuenta las pérdidas en la acometida hasta el TBT y las de los alimentadores en BT hasta los equipos de superficie (VFD's),  para el campo Dina-T de Ecopetrol.</t>
  </si>
  <si>
    <t xml:space="preserve">13. </t>
  </si>
  <si>
    <r>
      <t>14.</t>
    </r>
    <r>
      <rPr>
        <sz val="10"/>
        <rFont val="Century Gothic"/>
        <family val="2"/>
      </rPr>
      <t xml:space="preserve"> </t>
    </r>
  </si>
  <si>
    <t xml:space="preserve">18. </t>
  </si>
  <si>
    <t>DIAGRAMA UNIFILAR - DT-58</t>
  </si>
  <si>
    <t>DNC-02208-ELE-PL-000001</t>
  </si>
  <si>
    <t>DNC-002208-ELE-PL-000002/000005/
000006</t>
  </si>
  <si>
    <t>PLANIMETRÍA DE BANCOS DE DUCTOS, BANDEJAS, SECCIONES Y CORTES - DT-58</t>
  </si>
  <si>
    <t>Perdidas [kW]</t>
  </si>
  <si>
    <t>Tag</t>
  </si>
  <si>
    <t>pérdidas [kW]</t>
  </si>
  <si>
    <t xml:space="preserve">Total </t>
  </si>
  <si>
    <t>MR-DT-58</t>
  </si>
  <si>
    <t>Cables</t>
  </si>
  <si>
    <t>Equipos</t>
  </si>
  <si>
    <t>Pérdidas Totales</t>
  </si>
  <si>
    <t>Pérdidas Acometida a Motor</t>
  </si>
  <si>
    <t>Pérdidas conductores</t>
  </si>
  <si>
    <t>Pérdidas VFDs</t>
  </si>
  <si>
    <t>Pérdidas VFD</t>
  </si>
  <si>
    <t xml:space="preserve">PERDIDAS </t>
  </si>
  <si>
    <t>Total
Pérdidas</t>
  </si>
  <si>
    <t>TABLERO DE DISTRIBUCIÓN LOC DT-58</t>
  </si>
  <si>
    <t>Potencia
Operación [HP]</t>
  </si>
  <si>
    <t>Pérdidas Ramal Alimentador
(aéreo+sub)</t>
  </si>
  <si>
    <t>Pérdidas alimentadores Tablero</t>
  </si>
  <si>
    <t>SDT-08</t>
  </si>
  <si>
    <t>TRANSFORMADOR SDT</t>
  </si>
  <si>
    <t xml:space="preserve">Pérdidas Ramal Alimentador
</t>
  </si>
  <si>
    <t xml:space="preserve">Pérdidas SDT
</t>
  </si>
  <si>
    <t>Se contempló un factor de potencia de 0,796 en la carga para los variadores de 75 kVA.</t>
  </si>
  <si>
    <t>El dimensionamiento del transformador y el tablero, consideró las cargas actuales: la de DT-97 que se encuentra en operación y la de DT-58 al que se proyecta  modificar SLA de macánica a PCP. Teniendo en cuenta que el cálculo del transformador se basa en las potencias de los equipos de superficie y con el objetivo de evitar sobredimensionamientos, se establece como criterio de diseño la selección del transformador considerando hasta un 100% de su potencia nominal.</t>
  </si>
  <si>
    <t>Es responsabilidad del proveedor del equipo TBT la selección de los conductores que interconectan internamente los componentes, así como los conductores de instrumentación, control y comunicación internos, de forma tal que el equipo sea una unidad funcional.</t>
  </si>
  <si>
    <t>15.</t>
  </si>
  <si>
    <t xml:space="preserve">16. </t>
  </si>
  <si>
    <t>1 de 11</t>
  </si>
  <si>
    <t>2 de 11</t>
  </si>
  <si>
    <r>
      <t xml:space="preserve">MEMORIA DE CÁLCULO DE CONDUCTORES, CANALIZACIONES Y CUADRO DE CARGAS
 DT-58
</t>
    </r>
    <r>
      <rPr>
        <sz val="11"/>
        <rFont val="Arial"/>
        <family val="2"/>
      </rPr>
      <t>VERSIÓN 0</t>
    </r>
  </si>
  <si>
    <t>DANIEL GUTÉRREZ R.</t>
  </si>
  <si>
    <t xml:space="preserve">APC/AFC APROBADO PARA CONSTRUCCIÓN (CONTRATO 3037739 – ODS-082) SERINGTEC </t>
  </si>
  <si>
    <t>Alcance:</t>
  </si>
  <si>
    <t>Descripción:</t>
  </si>
  <si>
    <t>H1 hace parte de una memorias de cálculo de ingeniería para instalciones eléctricas. El usuario de estas memorias es un profesional de la electrotecnia, la mayoría de los casos un ingeniero electricista</t>
  </si>
  <si>
    <t>En la hoja H1 el usuario ingresa las cargas asociadas a un transformador o a un tablero de distribución. Incluye: Tag, descripción de la carga, tensión, sistema (3 fases, 2 fases, 1 fase), factor de utilización, factor de potencia, etc. Al final de cada carga, en las tres ultimas columnas la aplicación calcula o da el resultado de la poencia activa en kW, la potencia reactiva en kVAr y la potencia aparente en kVA.</t>
  </si>
  <si>
    <t>Cantidad de cargas:</t>
  </si>
  <si>
    <t>El usuario puede ingresar desde 1 hasta n cargas</t>
  </si>
  <si>
    <t>Total:</t>
  </si>
  <si>
    <t>Al final de las cargas asociadas al Transformador, hay una fila que da el resultado de la Potencia Activa Total, Potencia Reactiva Total y Potencia Aparente Total. Luego factor de potencia total.</t>
  </si>
  <si>
    <t>Descripción de cálculos [H1]:</t>
  </si>
  <si>
    <t xml:space="preserve">Transformador seleccionado: </t>
  </si>
  <si>
    <t>Factor de potencia:</t>
  </si>
  <si>
    <t>Para cada carga el usuario debe especificar el factor de potencia entre 0 y 1</t>
  </si>
  <si>
    <t>Factor de utilización:</t>
  </si>
  <si>
    <t>Tipo:</t>
  </si>
  <si>
    <t>Aunque en H1 vo que no aparece Tipo de carga, la idea es incluirlo. El usuario debe ingresr una "C" para continua y "R" para respaldo. Si es C debe sumarse la potencia a la potencia total. Si es "R" se trata de una carga de respaldo de otra carga similar, de tal maneara que en en condiciones normales no van a opraar simultaneamente, as{i que no deberá considerarse en las sumas de potencias totales.</t>
  </si>
  <si>
    <t>El ususrio debe ingresar un factor de máxima carga a la que operará. Se debe considerar que fucncionará al 100% es decir que el factor es igual a 1.</t>
  </si>
  <si>
    <t>Factor de diversificación:</t>
  </si>
  <si>
    <t>El usuario deberá ingesar un factor de divesificación de todas las cargas asociadas al transformador, que indica qué tanto van a funcionar todas las cargas al mismo tiempo.</t>
  </si>
  <si>
    <t>De acuerdo a las potencias totales, al factor de diversificación,  la aplicación debe seleccionar el transformador adecuado, considerando una reserva que el usuario requiera, y la capacidad de acuerdo a los valores comerciales para transformadores</t>
  </si>
  <si>
    <t>Por ahora considera un factor de pérdidas de 1%</t>
  </si>
  <si>
    <t>Factores de pérdidas conductores:</t>
  </si>
  <si>
    <t>Factores de pérdidas VFD:</t>
  </si>
  <si>
    <t>Si aplica, por ahora considera un factor de pérdidas de 1%</t>
  </si>
  <si>
    <t>Factores de pérdidas SUT:</t>
  </si>
  <si>
    <t>Selección de conductores</t>
  </si>
  <si>
    <t>Si Aluminio &amp; [banco de ductos]</t>
  </si>
  <si>
    <t>Tabla 310.16 columna Aluminio</t>
  </si>
  <si>
    <t>Si Aluminio &amp; [aéreo]</t>
  </si>
  <si>
    <t>Tabla 310.17 columna Aluminio</t>
  </si>
  <si>
    <t>Para baja tensión:</t>
  </si>
  <si>
    <t>Si Cobre &amp; [banco de ductos]</t>
  </si>
  <si>
    <t>Si Cobre &amp; [aéreo]</t>
  </si>
  <si>
    <t>Tabla 310.16 columna Cobre</t>
  </si>
  <si>
    <t>Tabla 310.17 columna Cobre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</si>
</sst>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4">
    <numFmt numFmtId="42" formatCode="_-&quot;$&quot;\ * #,##0_-;\-&quot;$&quot;\ * #,##0_-;_-&quot;$&quot;\ * &quot;-&quot;_-;_-@_-"/>
    <numFmt numFmtId="43" formatCode="_-* #,##0.00_-;\-* #,##0.00_-;_-* &quot;-&quot;??_-;_-@_-"/>
    <numFmt numFmtId="164" formatCode="_(&quot;$&quot;* #,##0_);_(&quot;$&quot;* \(#,##0\);_(&quot;$&quot;* &quot;-&quot;_);_(@_)"/>
    <numFmt numFmtId="165" formatCode="_(* #,##0.00_);_(* \(#,##0.00\);_(* &quot;-&quot;??_);_(@_)"/>
    <numFmt numFmtId="166" formatCode="0.0"/>
    <numFmt numFmtId="167" formatCode="General_)"/>
    <numFmt numFmtId="168" formatCode="0.00_)"/>
    <numFmt numFmtId="169" formatCode="0.0_)"/>
    <numFmt numFmtId="170" formatCode="0_)"/>
    <numFmt numFmtId="171" formatCode="0.000_)"/>
    <numFmt numFmtId="172" formatCode="0.0000"/>
    <numFmt numFmtId="173" formatCode="0.000"/>
    <numFmt numFmtId="174" formatCode="_([$€]* #,##0.00_);_([$€]* \(#,##0.00\);_([$€]* &quot;-&quot;??_);_(@_)"/>
    <numFmt numFmtId="175" formatCode="\$#,##0\ ;\(\$#,##0\)"/>
    <numFmt numFmtId="176" formatCode="&quot;$&quot;#,##0\ ;\(&quot;$&quot;#,##0\)"/>
    <numFmt numFmtId="177" formatCode="&quot;$&quot;#,##0.00\ ;\(&quot;$&quot;#,##0.00\)"/>
    <numFmt numFmtId="178" formatCode="[$-C0A]d\-mmm\-yy;@"/>
    <numFmt numFmtId="179" formatCode="dd\-mm\-yyyy"/>
    <numFmt numFmtId="180" formatCode="dd\-mm\-yyyy;@"/>
    <numFmt numFmtId="181" formatCode="#,##0.0"/>
    <numFmt numFmtId="182" formatCode="#,##0\'\'"/>
    <numFmt numFmtId="183" formatCode="#,##0&quot;H&quot;"/>
    <numFmt numFmtId="184" formatCode="#,##0&quot;T&quot;"/>
    <numFmt numFmtId="185" formatCode="#,##0&quot;K&quot;"/>
    <numFmt numFmtId="186" formatCode="#,##0&quot;°C&quot;"/>
    <numFmt numFmtId="187" formatCode="0.00000"/>
    <numFmt numFmtId="188" formatCode="#\ &quot;[kWh]&quot;"/>
    <numFmt numFmtId="189" formatCode="0.0%"/>
    <numFmt numFmtId="190" formatCode="0.00\ &quot;[kW]&quot;"/>
    <numFmt numFmtId="191" formatCode="0.000.E+00"/>
    <numFmt numFmtId="192" formatCode="#.00\ &quot;[kWh]&quot;"/>
    <numFmt numFmtId="193" formatCode="&quot;$&quot;\ #,##0"/>
    <numFmt numFmtId="194" formatCode="0.00.E+00"/>
    <numFmt numFmtId="195" formatCode="0.000E+00"/>
    <numFmt numFmtId="196" formatCode="#.00\ &quot;&gt; 10*Inp&quot;"/>
    <numFmt numFmtId="197" formatCode="#.0\ &quot;[kVA]&quot;"/>
    <numFmt numFmtId="198" formatCode="0.00&quot; kVA&quot;"/>
    <numFmt numFmtId="199" formatCode="0.00&quot; kW&quot;"/>
    <numFmt numFmtId="200" formatCode="0.00&quot; kVAR&quot;"/>
    <numFmt numFmtId="201" formatCode="0&quot; kW&quot;"/>
    <numFmt numFmtId="202" formatCode="0\ \A"/>
    <numFmt numFmtId="203" formatCode="0.00\ \A"/>
    <numFmt numFmtId="204" formatCode="_-* #,##0.0000_-;\-* #,##0.0000_-;_-* &quot;-&quot;??_-;_-@_-"/>
    <numFmt numFmtId="205" formatCode="0.00&quot; V&quot;"/>
    <numFmt numFmtId="206" formatCode="0.0000&quot; kVA&quot;"/>
    <numFmt numFmtId="207" formatCode="0.0\ \A"/>
    <numFmt numFmtId="208" formatCode="0.00000000"/>
    <numFmt numFmtId="209" formatCode="0.00\ &quot;[W]&quot;"/>
    <numFmt numFmtId="210" formatCode="0&quot; kVA&quot;"/>
    <numFmt numFmtId="211" formatCode="0&quot; HP&quot;"/>
    <numFmt numFmtId="212" formatCode="#\ &quot;[kWh/dia]&quot;"/>
    <numFmt numFmtId="213" formatCode="_-* #,##0.00000_-;\-* #,##0.00000_-;_-* &quot;-&quot;??_-;_-@_-"/>
    <numFmt numFmtId="214" formatCode="_-* #,##0.000_-;\-* #,##0.000_-;_-* &quot;-&quot;??_-;_-@_-"/>
    <numFmt numFmtId="215" formatCode="0.000000"/>
  </numFmts>
  <fonts count="19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8"/>
      <name val="Arial"/>
      <family val="2"/>
    </font>
    <font>
      <sz val="8"/>
      <name val="Arial"/>
      <family val="2"/>
    </font>
    <font>
      <b/>
      <sz val="11"/>
      <name val="Arial"/>
      <family val="2"/>
    </font>
    <font>
      <sz val="10"/>
      <name val="Arial"/>
      <family val="2"/>
    </font>
    <font>
      <sz val="10"/>
      <color indexed="8"/>
      <name val="Arial"/>
      <family val="2"/>
    </font>
    <font>
      <b/>
      <sz val="14"/>
      <name val="Arial"/>
      <family val="2"/>
    </font>
    <font>
      <b/>
      <sz val="10"/>
      <name val="Arial"/>
      <family val="2"/>
    </font>
    <font>
      <b/>
      <sz val="10"/>
      <color indexed="8"/>
      <name val="Arial"/>
      <family val="2"/>
    </font>
    <font>
      <b/>
      <sz val="9"/>
      <color indexed="8"/>
      <name val="Arial"/>
      <family val="2"/>
    </font>
    <font>
      <sz val="11"/>
      <name val="Arial"/>
      <family val="2"/>
    </font>
    <font>
      <sz val="8"/>
      <name val="Arial"/>
      <family val="2"/>
    </font>
    <font>
      <b/>
      <sz val="9"/>
      <name val="Arial"/>
      <family val="2"/>
    </font>
    <font>
      <sz val="11"/>
      <color indexed="8"/>
      <name val="Calibri"/>
      <family val="2"/>
    </font>
    <font>
      <sz val="11"/>
      <color indexed="9"/>
      <name val="Calibri"/>
      <family val="2"/>
    </font>
    <font>
      <sz val="11"/>
      <color indexed="17"/>
      <name val="Calibri"/>
      <family val="2"/>
    </font>
    <font>
      <b/>
      <sz val="18"/>
      <color indexed="24"/>
      <name val="Arial"/>
      <family val="2"/>
    </font>
    <font>
      <b/>
      <sz val="12"/>
      <color indexed="24"/>
      <name val="Arial"/>
      <family val="2"/>
    </font>
    <font>
      <b/>
      <sz val="11"/>
      <color indexed="52"/>
      <name val="Calibri"/>
      <family val="2"/>
    </font>
    <font>
      <b/>
      <sz val="11"/>
      <color indexed="9"/>
      <name val="Calibri"/>
      <family val="2"/>
    </font>
    <font>
      <sz val="11"/>
      <color indexed="52"/>
      <name val="Calibri"/>
      <family val="2"/>
    </font>
    <font>
      <sz val="10"/>
      <color indexed="22"/>
      <name val="Arial"/>
      <family val="2"/>
    </font>
    <font>
      <b/>
      <sz val="11"/>
      <color indexed="56"/>
      <name val="Calibri"/>
      <family val="2"/>
    </font>
    <font>
      <sz val="11"/>
      <color indexed="62"/>
      <name val="Calibri"/>
      <family val="2"/>
    </font>
    <font>
      <sz val="10"/>
      <color indexed="24"/>
      <name val="Arial"/>
      <family val="2"/>
    </font>
    <font>
      <b/>
      <sz val="18"/>
      <color indexed="22"/>
      <name val="Arial"/>
      <family val="2"/>
    </font>
    <font>
      <b/>
      <sz val="12"/>
      <color indexed="22"/>
      <name val="Arial"/>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sz val="10"/>
      <name val="Verdana"/>
      <family val="2"/>
    </font>
    <font>
      <b/>
      <sz val="10"/>
      <name val="Verdana"/>
      <family val="2"/>
    </font>
    <font>
      <b/>
      <i/>
      <sz val="10"/>
      <name val="Verdana"/>
      <family val="2"/>
    </font>
    <font>
      <sz val="26"/>
      <name val="Arial"/>
      <family val="2"/>
    </font>
    <font>
      <b/>
      <sz val="20"/>
      <name val="Arial"/>
      <family val="2"/>
    </font>
    <font>
      <sz val="10"/>
      <color indexed="10"/>
      <name val="Arial"/>
      <family val="2"/>
    </font>
    <font>
      <b/>
      <i/>
      <sz val="10"/>
      <name val="Arial"/>
      <family val="2"/>
    </font>
    <font>
      <b/>
      <sz val="12"/>
      <color indexed="8"/>
      <name val="Arial"/>
      <family val="2"/>
    </font>
    <font>
      <b/>
      <i/>
      <sz val="10"/>
      <color indexed="8"/>
      <name val="Arial"/>
      <family val="2"/>
    </font>
    <font>
      <sz val="10"/>
      <color rgb="FF000000"/>
      <name val="Arial"/>
      <family val="2"/>
    </font>
    <font>
      <b/>
      <sz val="10"/>
      <color theme="0"/>
      <name val="Arial"/>
      <family val="2"/>
    </font>
    <font>
      <sz val="28"/>
      <color rgb="FFFF0000"/>
      <name val="Arial"/>
      <family val="2"/>
    </font>
    <font>
      <b/>
      <sz val="8"/>
      <color rgb="FFFF0000"/>
      <name val="Arial"/>
      <family val="2"/>
    </font>
    <font>
      <b/>
      <sz val="10"/>
      <color rgb="FFFF0000"/>
      <name val="Arial"/>
      <family val="2"/>
    </font>
    <font>
      <b/>
      <sz val="12"/>
      <name val="Arial"/>
      <family val="2"/>
    </font>
    <font>
      <sz val="12"/>
      <color indexed="24"/>
      <name val="Arial"/>
      <family val="2"/>
    </font>
    <font>
      <b/>
      <sz val="11"/>
      <color indexed="8"/>
      <name val="Arial"/>
      <family val="2"/>
    </font>
    <font>
      <b/>
      <sz val="9.5"/>
      <color indexed="8"/>
      <name val="Arial"/>
      <family val="2"/>
    </font>
    <font>
      <sz val="9.5"/>
      <color indexed="8"/>
      <name val="Arial"/>
      <family val="2"/>
    </font>
    <font>
      <sz val="10"/>
      <name val="Times New Roman"/>
      <family val="1"/>
    </font>
    <font>
      <sz val="9"/>
      <name val="Arial"/>
      <family val="2"/>
    </font>
    <font>
      <sz val="12"/>
      <name val="Arial"/>
      <family val="2"/>
    </font>
    <font>
      <b/>
      <sz val="16"/>
      <name val="Arial"/>
      <family val="2"/>
    </font>
    <font>
      <b/>
      <sz val="9"/>
      <color indexed="81"/>
      <name val="Tahoma"/>
      <family val="2"/>
    </font>
    <font>
      <sz val="9"/>
      <color indexed="81"/>
      <name val="Tahoma"/>
      <family val="2"/>
    </font>
    <font>
      <sz val="10"/>
      <name val="Arial"/>
      <family val="2"/>
    </font>
    <font>
      <sz val="10"/>
      <color theme="1"/>
      <name val="Arial"/>
      <family val="2"/>
    </font>
    <font>
      <sz val="10"/>
      <name val="MS Sans Serif"/>
      <family val="2"/>
    </font>
    <font>
      <b/>
      <sz val="10"/>
      <color theme="1"/>
      <name val="Arial"/>
      <family val="2"/>
    </font>
    <font>
      <sz val="10"/>
      <color theme="1"/>
      <name val="Times New Roman"/>
      <family val="1"/>
    </font>
    <font>
      <b/>
      <i/>
      <sz val="11"/>
      <name val="Arial"/>
      <family val="2"/>
    </font>
    <font>
      <sz val="11"/>
      <name val="Calibri"/>
      <family val="2"/>
    </font>
    <font>
      <sz val="11"/>
      <color rgb="FF000000"/>
      <name val="Franklin Gothic Book"/>
      <family val="2"/>
    </font>
    <font>
      <sz val="11"/>
      <color indexed="8"/>
      <name val="Arial"/>
      <family val="2"/>
    </font>
    <font>
      <b/>
      <sz val="9"/>
      <color indexed="9"/>
      <name val="Verdana"/>
      <family val="2"/>
    </font>
    <font>
      <b/>
      <sz val="14"/>
      <color indexed="8"/>
      <name val="Arial"/>
      <family val="2"/>
    </font>
    <font>
      <sz val="11"/>
      <color theme="1"/>
      <name val="Arial"/>
      <family val="2"/>
    </font>
    <font>
      <sz val="11"/>
      <color rgb="FFFF0000"/>
      <name val="Arial"/>
      <family val="2"/>
    </font>
    <font>
      <sz val="9.5"/>
      <name val="Arial"/>
      <family val="2"/>
    </font>
    <font>
      <b/>
      <sz val="7"/>
      <name val="Arial"/>
      <family val="2"/>
    </font>
    <font>
      <sz val="11"/>
      <color rgb="FF000000"/>
      <name val="Arial"/>
      <family val="2"/>
    </font>
    <font>
      <sz val="10"/>
      <color theme="0"/>
      <name val="Arial"/>
      <family val="2"/>
    </font>
    <font>
      <sz val="9.5"/>
      <color theme="0"/>
      <name val="Arial"/>
      <family val="2"/>
    </font>
    <font>
      <b/>
      <sz val="11"/>
      <color rgb="FF000000"/>
      <name val="Arial"/>
      <family val="2"/>
    </font>
    <font>
      <b/>
      <i/>
      <vertAlign val="subscript"/>
      <sz val="11"/>
      <name val="Arial"/>
      <family val="2"/>
    </font>
    <font>
      <i/>
      <sz val="10"/>
      <name val="Arial"/>
      <family val="2"/>
    </font>
    <font>
      <i/>
      <sz val="9"/>
      <name val="Arial"/>
      <family val="2"/>
    </font>
    <font>
      <sz val="10"/>
      <color rgb="FFFF0000"/>
      <name val="Arial"/>
      <family val="2"/>
    </font>
    <font>
      <b/>
      <sz val="12"/>
      <color theme="1"/>
      <name val="Arial"/>
      <family val="2"/>
    </font>
    <font>
      <b/>
      <sz val="11"/>
      <color theme="1"/>
      <name val="Arial"/>
      <family val="2"/>
    </font>
    <font>
      <b/>
      <sz val="11"/>
      <color theme="1"/>
      <name val="Calibri"/>
      <family val="2"/>
      <scheme val="minor"/>
    </font>
    <font>
      <sz val="9"/>
      <color indexed="8"/>
      <name val="Arial"/>
      <family val="2"/>
    </font>
    <font>
      <b/>
      <sz val="12"/>
      <color theme="1"/>
      <name val="Times New Roman"/>
      <family val="1"/>
    </font>
    <font>
      <b/>
      <sz val="12"/>
      <color theme="0"/>
      <name val="Times New Roman"/>
      <family val="1"/>
    </font>
    <font>
      <b/>
      <sz val="12"/>
      <name val="Times New Roman"/>
      <family val="1"/>
    </font>
    <font>
      <sz val="10"/>
      <name val="Arial"/>
      <family val="2"/>
    </font>
    <font>
      <b/>
      <sz val="12"/>
      <color indexed="8"/>
      <name val="Times New Roman"/>
      <family val="1"/>
    </font>
    <font>
      <b/>
      <sz val="11"/>
      <name val="Calibri"/>
      <family val="2"/>
    </font>
    <font>
      <vertAlign val="superscript"/>
      <sz val="11"/>
      <name val="Arial"/>
      <family val="2"/>
    </font>
    <font>
      <sz val="11"/>
      <color theme="8" tint="-0.499984740745262"/>
      <name val="Arial"/>
      <family val="2"/>
    </font>
    <font>
      <sz val="11"/>
      <color rgb="FFFFFF00"/>
      <name val="Arial"/>
      <family val="2"/>
    </font>
    <font>
      <i/>
      <sz val="10"/>
      <name val="Calibri"/>
      <family val="2"/>
    </font>
    <font>
      <sz val="10"/>
      <color theme="8" tint="-0.499984740745262"/>
      <name val="Arial"/>
      <family val="2"/>
    </font>
    <font>
      <sz val="11"/>
      <color rgb="FF7030A0"/>
      <name val="Arial"/>
      <family val="2"/>
    </font>
    <font>
      <b/>
      <sz val="12"/>
      <color theme="8" tint="-0.499984740745262"/>
      <name val="Arial"/>
      <family val="2"/>
    </font>
    <font>
      <b/>
      <i/>
      <sz val="10"/>
      <color rgb="FF0070C0"/>
      <name val="Arial"/>
      <family val="2"/>
    </font>
    <font>
      <b/>
      <i/>
      <sz val="10"/>
      <color rgb="FF0070C0"/>
      <name val="Calibri"/>
      <family val="2"/>
    </font>
    <font>
      <b/>
      <sz val="9"/>
      <color rgb="FF0070C0"/>
      <name val="Arial"/>
      <family val="2"/>
    </font>
    <font>
      <sz val="9.5"/>
      <color rgb="FF0070C0"/>
      <name val="Arial"/>
      <family val="2"/>
    </font>
    <font>
      <sz val="10"/>
      <color rgb="FF0070C0"/>
      <name val="Arial"/>
      <family val="2"/>
    </font>
    <font>
      <sz val="11"/>
      <color rgb="FF0070C0"/>
      <name val="Arial"/>
      <family val="2"/>
    </font>
    <font>
      <sz val="14"/>
      <name val="Arial"/>
      <family val="2"/>
    </font>
    <font>
      <sz val="11"/>
      <color theme="0"/>
      <name val="Arial"/>
      <family val="2"/>
    </font>
    <font>
      <b/>
      <sz val="11"/>
      <color theme="0"/>
      <name val="Arial"/>
      <family val="2"/>
    </font>
    <font>
      <b/>
      <i/>
      <sz val="8"/>
      <name val="Arial"/>
      <family val="2"/>
    </font>
    <font>
      <b/>
      <sz val="11"/>
      <color theme="0" tint="-0.34998626667073579"/>
      <name val="Arial"/>
      <family val="2"/>
    </font>
    <font>
      <sz val="11"/>
      <color theme="0" tint="-0.34998626667073579"/>
      <name val="Arial"/>
      <family val="2"/>
    </font>
    <font>
      <b/>
      <sz val="9"/>
      <color rgb="FF000000"/>
      <name val="Arial"/>
      <family val="2"/>
    </font>
    <font>
      <sz val="8"/>
      <color theme="1"/>
      <name val="Arial"/>
      <family val="2"/>
    </font>
    <font>
      <sz val="18"/>
      <color theme="1"/>
      <name val="Arial"/>
      <family val="2"/>
    </font>
    <font>
      <sz val="9"/>
      <color theme="1"/>
      <name val="Calibri Light"/>
      <family val="2"/>
    </font>
    <font>
      <b/>
      <sz val="9"/>
      <color theme="1"/>
      <name val="Calibri Light"/>
      <family val="2"/>
    </font>
    <font>
      <sz val="11"/>
      <color theme="1"/>
      <name val="Calibri Light"/>
      <family val="2"/>
    </font>
    <font>
      <sz val="9"/>
      <name val="Calibri Light"/>
      <family val="2"/>
    </font>
    <font>
      <b/>
      <sz val="9"/>
      <name val="Calibri Light"/>
      <family val="2"/>
    </font>
    <font>
      <b/>
      <sz val="9"/>
      <color rgb="FFFF0000"/>
      <name val="Calibri Light"/>
      <family val="2"/>
    </font>
    <font>
      <b/>
      <sz val="8"/>
      <color theme="1"/>
      <name val="Arial"/>
      <family val="2"/>
    </font>
    <font>
      <sz val="8"/>
      <color theme="1"/>
      <name val="Century Gothic"/>
      <family val="2"/>
    </font>
    <font>
      <b/>
      <sz val="9"/>
      <name val="Century Gothic"/>
      <family val="2"/>
    </font>
    <font>
      <b/>
      <sz val="8"/>
      <name val="Century Gothic"/>
      <family val="2"/>
    </font>
    <font>
      <b/>
      <sz val="10"/>
      <color theme="1"/>
      <name val="Century Gothic"/>
      <family val="2"/>
    </font>
    <font>
      <sz val="8"/>
      <name val="Century Gothic"/>
      <family val="2"/>
    </font>
    <font>
      <u/>
      <sz val="10"/>
      <color theme="10"/>
      <name val="Arial"/>
      <family val="2"/>
    </font>
    <font>
      <b/>
      <sz val="10"/>
      <name val="Avenir Next LT Pro"/>
      <family val="2"/>
    </font>
    <font>
      <b/>
      <sz val="10"/>
      <color rgb="FF000000"/>
      <name val="Avenir Next LT Pro"/>
      <family val="2"/>
    </font>
    <font>
      <b/>
      <i/>
      <sz val="11"/>
      <color indexed="8"/>
      <name val="Century Gothic"/>
      <family val="2"/>
    </font>
    <font>
      <b/>
      <sz val="11"/>
      <color indexed="8"/>
      <name val="Century Gothic"/>
      <family val="2"/>
    </font>
    <font>
      <b/>
      <sz val="11"/>
      <name val="Century Gothic"/>
      <family val="2"/>
    </font>
    <font>
      <b/>
      <vertAlign val="subscript"/>
      <sz val="11"/>
      <color rgb="FF000000"/>
      <name val="Century Gothic"/>
      <family val="2"/>
    </font>
    <font>
      <b/>
      <sz val="11"/>
      <color rgb="FF000000"/>
      <name val="Century Gothic"/>
      <family val="2"/>
    </font>
    <font>
      <sz val="11"/>
      <color indexed="8"/>
      <name val="Century Gothic"/>
      <family val="2"/>
    </font>
    <font>
      <sz val="11"/>
      <name val="Century Gothic"/>
      <family val="2"/>
    </font>
    <font>
      <b/>
      <sz val="11"/>
      <color theme="1"/>
      <name val="Century Gothic"/>
      <family val="2"/>
    </font>
    <font>
      <sz val="11"/>
      <color theme="1"/>
      <name val="Century Gothic"/>
      <family val="2"/>
    </font>
    <font>
      <b/>
      <i/>
      <sz val="10"/>
      <color indexed="8"/>
      <name val="Century Gothic"/>
      <family val="2"/>
    </font>
    <font>
      <b/>
      <sz val="10"/>
      <color indexed="8"/>
      <name val="Century Gothic"/>
      <family val="2"/>
    </font>
    <font>
      <b/>
      <sz val="10"/>
      <name val="Century Gothic"/>
      <family val="2"/>
    </font>
    <font>
      <b/>
      <sz val="7"/>
      <name val="Century Gothic"/>
      <family val="2"/>
    </font>
    <font>
      <sz val="26"/>
      <name val="Century Gothic"/>
      <family val="2"/>
    </font>
    <font>
      <sz val="10"/>
      <name val="Century Gothic"/>
      <family val="2"/>
    </font>
    <font>
      <b/>
      <i/>
      <sz val="10"/>
      <name val="Century Gothic"/>
      <family val="2"/>
    </font>
    <font>
      <b/>
      <sz val="10"/>
      <color rgb="FFFF0000"/>
      <name val="Century Gothic"/>
      <family val="2"/>
    </font>
    <font>
      <b/>
      <sz val="8"/>
      <color rgb="FFFF0000"/>
      <name val="Century Gothic"/>
      <family val="2"/>
    </font>
    <font>
      <b/>
      <sz val="20"/>
      <name val="Century Gothic"/>
      <family val="2"/>
    </font>
    <font>
      <b/>
      <sz val="14"/>
      <name val="Century Gothic"/>
      <family val="2"/>
    </font>
    <font>
      <b/>
      <sz val="12"/>
      <name val="Century Gothic"/>
      <family val="2"/>
    </font>
    <font>
      <b/>
      <sz val="16"/>
      <color indexed="8"/>
      <name val="Century Gothic"/>
      <family val="2"/>
    </font>
    <font>
      <b/>
      <sz val="12"/>
      <color indexed="8"/>
      <name val="Century Gothic"/>
      <family val="2"/>
    </font>
    <font>
      <b/>
      <sz val="14"/>
      <color indexed="8"/>
      <name val="Century Gothic"/>
      <family val="2"/>
    </font>
    <font>
      <sz val="10"/>
      <color indexed="8"/>
      <name val="Century Gothic"/>
      <family val="2"/>
    </font>
    <font>
      <sz val="10"/>
      <color indexed="10"/>
      <name val="Century Gothic"/>
      <family val="2"/>
    </font>
    <font>
      <b/>
      <i/>
      <sz val="11"/>
      <name val="Century Gothic"/>
      <family val="2"/>
    </font>
    <font>
      <b/>
      <sz val="10"/>
      <color theme="0"/>
      <name val="Century Gothic"/>
      <family val="2"/>
    </font>
    <font>
      <b/>
      <vertAlign val="superscript"/>
      <sz val="11"/>
      <name val="Century Gothic"/>
      <family val="2"/>
    </font>
    <font>
      <sz val="10"/>
      <color theme="0"/>
      <name val="Century Gothic"/>
      <family val="2"/>
    </font>
    <font>
      <sz val="10"/>
      <color theme="1"/>
      <name val="Century Gothic"/>
      <family val="2"/>
    </font>
    <font>
      <sz val="11"/>
      <color rgb="FF00B050"/>
      <name val="Arial"/>
      <family val="2"/>
    </font>
    <font>
      <sz val="11"/>
      <color rgb="FF000000"/>
      <name val="Aptos Narrow"/>
      <family val="2"/>
    </font>
    <font>
      <b/>
      <sz val="11"/>
      <color rgb="FF000000"/>
      <name val="Aptos Narrow"/>
      <family val="2"/>
    </font>
    <font>
      <b/>
      <sz val="12"/>
      <color rgb="FF000000"/>
      <name val="Calibri"/>
      <family val="2"/>
    </font>
    <font>
      <b/>
      <sz val="11"/>
      <color rgb="FF000000"/>
      <name val="Calibri"/>
      <family val="2"/>
    </font>
    <font>
      <sz val="11"/>
      <color rgb="FFFFFFFF"/>
      <name val="Calibri"/>
      <family val="2"/>
    </font>
    <font>
      <sz val="9.5"/>
      <color rgb="FFFFFFFF"/>
      <name val="Verdana"/>
      <family val="2"/>
    </font>
    <font>
      <sz val="11"/>
      <color rgb="FF000000"/>
      <name val="Calibri"/>
      <family val="2"/>
    </font>
    <font>
      <sz val="10.5"/>
      <color indexed="8"/>
      <name val="Century Gothic"/>
      <family val="2"/>
    </font>
    <font>
      <sz val="10.5"/>
      <name val="Century Gothic"/>
      <family val="2"/>
    </font>
    <font>
      <b/>
      <sz val="12"/>
      <color indexed="8"/>
      <name val="Avenir Next LT Pro"/>
      <family val="2"/>
    </font>
    <font>
      <b/>
      <sz val="12"/>
      <color theme="1"/>
      <name val="Avenir Next LT Pro"/>
      <family val="2"/>
    </font>
    <font>
      <b/>
      <sz val="12"/>
      <name val="Avenir Next LT Pro"/>
      <family val="2"/>
    </font>
    <font>
      <sz val="10"/>
      <name val="Aptos Narrow"/>
      <family val="2"/>
    </font>
    <font>
      <b/>
      <i/>
      <u/>
      <sz val="10"/>
      <color rgb="FF000000"/>
      <name val="Arial"/>
      <family val="2"/>
    </font>
    <font>
      <sz val="10.5"/>
      <color theme="1"/>
      <name val="Century Gothic"/>
      <family val="2"/>
    </font>
    <font>
      <sz val="8"/>
      <color rgb="FFFF0000"/>
      <name val="Arial"/>
      <family val="2"/>
    </font>
  </fonts>
  <fills count="6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15"/>
        <bgColor indexed="64"/>
      </patternFill>
    </fill>
    <fill>
      <patternFill patternType="solid">
        <fgColor indexed="22"/>
        <bgColor indexed="64"/>
      </patternFill>
    </fill>
    <fill>
      <patternFill patternType="solid">
        <fgColor indexed="5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indexed="1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rgb="FF00B0F0"/>
        <bgColor indexed="64"/>
      </patternFill>
    </fill>
    <fill>
      <patternFill patternType="solid">
        <fgColor rgb="FFBFBFBF"/>
        <bgColor indexed="64"/>
      </patternFill>
    </fill>
    <fill>
      <patternFill patternType="solid">
        <fgColor theme="0" tint="-0.14999847407452621"/>
        <bgColor indexed="64"/>
      </patternFill>
    </fill>
    <fill>
      <patternFill patternType="solid">
        <fgColor rgb="FFC00000"/>
        <bgColor indexed="64"/>
      </patternFill>
    </fill>
    <fill>
      <patternFill patternType="solid">
        <fgColor rgb="FFB8BAFE"/>
        <bgColor indexed="64"/>
      </patternFill>
    </fill>
    <fill>
      <patternFill patternType="solid">
        <fgColor theme="4" tint="0.79998168889431442"/>
        <bgColor indexed="64"/>
      </patternFill>
    </fill>
    <fill>
      <patternFill patternType="solid">
        <fgColor theme="4" tint="0.79998168889431442"/>
        <bgColor indexed="8"/>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39997558519241921"/>
        <bgColor indexed="8"/>
      </patternFill>
    </fill>
    <fill>
      <patternFill patternType="solid">
        <fgColor rgb="FF4EA72E"/>
        <bgColor indexed="64"/>
      </patternFill>
    </fill>
    <fill>
      <patternFill patternType="solid">
        <fgColor rgb="FF0F9ED5"/>
        <bgColor indexed="64"/>
      </patternFill>
    </fill>
    <fill>
      <patternFill patternType="solid">
        <fgColor rgb="FFE97132"/>
        <bgColor indexed="64"/>
      </patternFill>
    </fill>
    <fill>
      <patternFill patternType="solid">
        <fgColor rgb="FFDAF2D0"/>
        <bgColor indexed="64"/>
      </patternFill>
    </fill>
    <fill>
      <patternFill patternType="solid">
        <fgColor rgb="FFCAEDFB"/>
        <bgColor indexed="64"/>
      </patternFill>
    </fill>
    <fill>
      <patternFill patternType="solid">
        <fgColor rgb="FFFBE2D5"/>
        <bgColor indexed="64"/>
      </patternFill>
    </fill>
    <fill>
      <patternFill patternType="solid">
        <fgColor rgb="FFE8E8E8"/>
        <bgColor indexed="64"/>
      </patternFill>
    </fill>
    <fill>
      <patternFill patternType="solid">
        <fgColor rgb="FF00B050"/>
        <bgColor indexed="64"/>
      </patternFill>
    </fill>
    <fill>
      <patternFill patternType="solid">
        <fgColor rgb="FF8EA9DB"/>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bgColor indexed="64"/>
      </patternFill>
    </fill>
  </fills>
  <borders count="10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double">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right/>
      <top style="medium">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style="double">
        <color indexed="64"/>
      </right>
      <top/>
      <bottom/>
      <diagonal/>
    </border>
    <border>
      <left style="thin">
        <color rgb="FF000000"/>
      </left>
      <right style="thin">
        <color rgb="FF000000"/>
      </right>
      <top style="thin">
        <color rgb="FF000000"/>
      </top>
      <bottom style="thin">
        <color rgb="FF000000"/>
      </bottom>
      <diagonal/>
    </border>
    <border>
      <left style="medium">
        <color indexed="64"/>
      </left>
      <right/>
      <top/>
      <bottom style="medium">
        <color indexed="64"/>
      </bottom>
      <diagonal/>
    </border>
    <border>
      <left style="thin">
        <color rgb="FF002060"/>
      </left>
      <right style="thin">
        <color rgb="FF002060"/>
      </right>
      <top style="thin">
        <color rgb="FF002060"/>
      </top>
      <bottom style="thin">
        <color rgb="FF002060"/>
      </bottom>
      <diagonal/>
    </border>
    <border>
      <left style="medium">
        <color indexed="64"/>
      </left>
      <right/>
      <top style="thin">
        <color indexed="64"/>
      </top>
      <bottom style="thin">
        <color indexed="64"/>
      </bottom>
      <diagonal/>
    </border>
    <border>
      <left style="dotted">
        <color theme="3"/>
      </left>
      <right style="dotted">
        <color theme="3"/>
      </right>
      <top style="medium">
        <color theme="3"/>
      </top>
      <bottom style="medium">
        <color theme="3"/>
      </bottom>
      <diagonal/>
    </border>
    <border>
      <left style="dotted">
        <color theme="3"/>
      </left>
      <right style="dotted">
        <color theme="3"/>
      </right>
      <top style="medium">
        <color theme="3"/>
      </top>
      <bottom style="dotted">
        <color theme="3"/>
      </bottom>
      <diagonal/>
    </border>
    <border>
      <left style="dotted">
        <color theme="3"/>
      </left>
      <right style="dotted">
        <color theme="3"/>
      </right>
      <top style="dotted">
        <color theme="3"/>
      </top>
      <bottom style="dotted">
        <color theme="3"/>
      </bottom>
      <diagonal/>
    </border>
    <border>
      <left style="dotted">
        <color theme="3"/>
      </left>
      <right style="dotted">
        <color theme="3"/>
      </right>
      <top style="dotted">
        <color theme="3"/>
      </top>
      <bottom style="medium">
        <color theme="3"/>
      </bottom>
      <diagonal/>
    </border>
    <border>
      <left style="dotted">
        <color theme="3"/>
      </left>
      <right style="dotted">
        <color theme="3"/>
      </right>
      <top style="dotted">
        <color theme="3"/>
      </top>
      <bottom/>
      <diagonal/>
    </border>
    <border>
      <left style="dotted">
        <color theme="3"/>
      </left>
      <right style="dotted">
        <color theme="3"/>
      </right>
      <top/>
      <bottom style="dotted">
        <color theme="3"/>
      </bottom>
      <diagonal/>
    </border>
    <border>
      <left style="dotted">
        <color theme="3"/>
      </left>
      <right style="dotted">
        <color theme="3"/>
      </right>
      <top/>
      <bottom/>
      <diagonal/>
    </border>
    <border>
      <left style="dotted">
        <color theme="3"/>
      </left>
      <right style="dotted">
        <color theme="3"/>
      </right>
      <top/>
      <bottom style="medium">
        <color theme="3"/>
      </bottom>
      <diagonal/>
    </border>
    <border>
      <left style="dotted">
        <color theme="3"/>
      </left>
      <right/>
      <top style="medium">
        <color theme="3"/>
      </top>
      <bottom style="medium">
        <color theme="3"/>
      </bottom>
      <diagonal/>
    </border>
    <border>
      <left/>
      <right/>
      <top style="medium">
        <color theme="3"/>
      </top>
      <bottom style="medium">
        <color theme="3"/>
      </bottom>
      <diagonal/>
    </border>
    <border>
      <left/>
      <right style="dotted">
        <color theme="3"/>
      </right>
      <top style="medium">
        <color theme="3"/>
      </top>
      <bottom style="medium">
        <color theme="3"/>
      </bottom>
      <diagonal/>
    </border>
    <border>
      <left style="dotted">
        <color theme="3"/>
      </left>
      <right style="thin">
        <color indexed="64"/>
      </right>
      <top style="medium">
        <color theme="3"/>
      </top>
      <bottom style="dotted">
        <color theme="3"/>
      </bottom>
      <diagonal/>
    </border>
    <border>
      <left style="thin">
        <color indexed="64"/>
      </left>
      <right style="thin">
        <color indexed="64"/>
      </right>
      <top style="medium">
        <color theme="3"/>
      </top>
      <bottom style="dotted">
        <color theme="3"/>
      </bottom>
      <diagonal/>
    </border>
    <border>
      <left style="thin">
        <color indexed="64"/>
      </left>
      <right style="dotted">
        <color theme="3"/>
      </right>
      <top style="medium">
        <color theme="3"/>
      </top>
      <bottom style="dotted">
        <color theme="3"/>
      </bottom>
      <diagonal/>
    </border>
    <border>
      <left style="dotted">
        <color theme="3"/>
      </left>
      <right style="thin">
        <color indexed="64"/>
      </right>
      <top style="dotted">
        <color theme="3"/>
      </top>
      <bottom style="medium">
        <color theme="3"/>
      </bottom>
      <diagonal/>
    </border>
    <border>
      <left style="thin">
        <color indexed="64"/>
      </left>
      <right style="thin">
        <color indexed="64"/>
      </right>
      <top style="dotted">
        <color theme="3"/>
      </top>
      <bottom style="medium">
        <color theme="3"/>
      </bottom>
      <diagonal/>
    </border>
    <border>
      <left style="thin">
        <color indexed="64"/>
      </left>
      <right style="dotted">
        <color theme="3"/>
      </right>
      <top style="dotted">
        <color theme="3"/>
      </top>
      <bottom style="medium">
        <color theme="3"/>
      </bottom>
      <diagonal/>
    </border>
    <border>
      <left style="dotted">
        <color theme="3"/>
      </left>
      <right style="dotted">
        <color theme="3"/>
      </right>
      <top style="medium">
        <color theme="3"/>
      </top>
      <bottom/>
      <diagonal/>
    </border>
    <border>
      <left style="dotted">
        <color theme="3"/>
      </left>
      <right/>
      <top style="dotted">
        <color theme="3"/>
      </top>
      <bottom style="dotted">
        <color theme="3"/>
      </bottom>
      <diagonal/>
    </border>
    <border>
      <left/>
      <right/>
      <top style="dotted">
        <color theme="3"/>
      </top>
      <bottom style="dotted">
        <color theme="3"/>
      </bottom>
      <diagonal/>
    </border>
    <border>
      <left/>
      <right style="dotted">
        <color theme="3"/>
      </right>
      <top style="dotted">
        <color theme="3"/>
      </top>
      <bottom style="dotted">
        <color theme="3"/>
      </bottom>
      <diagonal/>
    </border>
    <border>
      <left style="dotted">
        <color theme="3"/>
      </left>
      <right/>
      <top style="medium">
        <color theme="3"/>
      </top>
      <bottom style="dotted">
        <color theme="3"/>
      </bottom>
      <diagonal/>
    </border>
    <border>
      <left/>
      <right/>
      <top style="medium">
        <color theme="3"/>
      </top>
      <bottom style="dotted">
        <color theme="3"/>
      </bottom>
      <diagonal/>
    </border>
    <border>
      <left/>
      <right style="dotted">
        <color theme="3"/>
      </right>
      <top style="medium">
        <color theme="3"/>
      </top>
      <bottom style="dotted">
        <color theme="3"/>
      </bottom>
      <diagonal/>
    </border>
    <border>
      <left style="dotted">
        <color theme="3"/>
      </left>
      <right/>
      <top style="dotted">
        <color theme="3"/>
      </top>
      <bottom style="medium">
        <color theme="3"/>
      </bottom>
      <diagonal/>
    </border>
    <border>
      <left/>
      <right/>
      <top style="dotted">
        <color theme="3"/>
      </top>
      <bottom style="medium">
        <color theme="3"/>
      </bottom>
      <diagonal/>
    </border>
    <border>
      <left/>
      <right style="dotted">
        <color theme="3"/>
      </right>
      <top style="dotted">
        <color theme="3"/>
      </top>
      <bottom style="medium">
        <color theme="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rgb="FF000000"/>
      </right>
      <top style="medium">
        <color indexed="64"/>
      </top>
      <bottom style="medium">
        <color indexed="64"/>
      </bottom>
      <diagonal/>
    </border>
  </borders>
  <cellStyleXfs count="106">
    <xf numFmtId="0" fontId="0" fillId="0" borderId="0"/>
    <xf numFmtId="0" fontId="31" fillId="2" borderId="0" applyNumberFormat="0" applyBorder="0" applyAlignment="0" applyProtection="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1" fillId="5" borderId="0" applyNumberFormat="0" applyBorder="0" applyAlignment="0" applyProtection="0"/>
    <xf numFmtId="0" fontId="31" fillId="8" borderId="0" applyNumberFormat="0" applyBorder="0" applyAlignment="0" applyProtection="0"/>
    <xf numFmtId="0" fontId="31" fillId="11" borderId="0" applyNumberFormat="0" applyBorder="0" applyAlignment="0" applyProtection="0"/>
    <xf numFmtId="0" fontId="32" fillId="12" borderId="0" applyNumberFormat="0" applyBorder="0" applyAlignment="0" applyProtection="0"/>
    <xf numFmtId="0" fontId="32" fillId="9" borderId="0" applyNumberFormat="0" applyBorder="0" applyAlignment="0" applyProtection="0"/>
    <xf numFmtId="0" fontId="32" fillId="10" borderId="0" applyNumberFormat="0" applyBorder="0" applyAlignment="0" applyProtection="0"/>
    <xf numFmtId="0" fontId="32" fillId="13"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3" fillId="4" borderId="0" applyNumberFormat="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16" borderId="1" applyNumberFormat="0" applyAlignment="0" applyProtection="0"/>
    <xf numFmtId="0" fontId="37" fillId="17" borderId="2" applyNumberFormat="0" applyAlignment="0" applyProtection="0"/>
    <xf numFmtId="0" fontId="38" fillId="0" borderId="3" applyNumberFormat="0" applyFill="0" applyAlignment="0" applyProtection="0"/>
    <xf numFmtId="3" fontId="39" fillId="0" borderId="0" applyFont="0" applyFill="0" applyBorder="0" applyAlignment="0" applyProtection="0"/>
    <xf numFmtId="164" fontId="18" fillId="0" borderId="0" applyFont="0" applyFill="0" applyBorder="0" applyAlignment="0" applyProtection="0"/>
    <xf numFmtId="177" fontId="39" fillId="0" borderId="0" applyFont="0" applyFill="0" applyBorder="0" applyAlignment="0" applyProtection="0"/>
    <xf numFmtId="176" fontId="39" fillId="0" borderId="0" applyFont="0" applyFill="0" applyBorder="0" applyAlignment="0" applyProtection="0"/>
    <xf numFmtId="0" fontId="39" fillId="0" borderId="0" applyFont="0" applyFill="0" applyBorder="0" applyAlignment="0" applyProtection="0"/>
    <xf numFmtId="0" fontId="40" fillId="0" borderId="0" applyNumberFormat="0" applyFill="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32" fillId="13" borderId="0" applyNumberFormat="0" applyBorder="0" applyAlignment="0" applyProtection="0"/>
    <xf numFmtId="0" fontId="32" fillId="14" borderId="0" applyNumberFormat="0" applyBorder="0" applyAlignment="0" applyProtection="0"/>
    <xf numFmtId="0" fontId="32" fillId="21" borderId="0" applyNumberFormat="0" applyBorder="0" applyAlignment="0" applyProtection="0"/>
    <xf numFmtId="0" fontId="41" fillId="7" borderId="1" applyNumberFormat="0" applyAlignment="0" applyProtection="0"/>
    <xf numFmtId="174" fontId="18" fillId="0" borderId="0" applyFont="0" applyFill="0" applyBorder="0" applyAlignment="0" applyProtection="0"/>
    <xf numFmtId="0" fontId="42" fillId="0" borderId="0" applyFont="0" applyFill="0" applyBorder="0" applyAlignment="0" applyProtection="0"/>
    <xf numFmtId="2" fontId="42" fillId="0" borderId="0" applyFont="0" applyFill="0" applyBorder="0" applyAlignment="0" applyProtection="0"/>
    <xf numFmtId="2" fontId="39" fillId="0" borderId="0" applyFon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3" borderId="0" applyNumberFormat="0" applyBorder="0" applyAlignment="0" applyProtection="0"/>
    <xf numFmtId="175" fontId="42" fillId="0" borderId="0" applyFont="0" applyFill="0" applyBorder="0" applyAlignment="0" applyProtection="0"/>
    <xf numFmtId="0" fontId="46" fillId="22" borderId="0" applyNumberFormat="0" applyBorder="0" applyAlignment="0" applyProtection="0"/>
    <xf numFmtId="0" fontId="22" fillId="0" borderId="0"/>
    <xf numFmtId="0" fontId="18" fillId="0" borderId="0" applyNumberFormat="0" applyFont="0" applyFill="0" applyBorder="0" applyAlignment="0" applyProtection="0">
      <alignment vertical="top"/>
    </xf>
    <xf numFmtId="0" fontId="18" fillId="23" borderId="4" applyNumberFormat="0" applyFont="0" applyAlignment="0" applyProtection="0"/>
    <xf numFmtId="10" fontId="39" fillId="0" borderId="0" applyFont="0" applyFill="0" applyBorder="0" applyAlignment="0" applyProtection="0"/>
    <xf numFmtId="9" fontId="18" fillId="0" borderId="0" applyFont="0" applyFill="0" applyBorder="0" applyAlignment="0" applyProtection="0"/>
    <xf numFmtId="3" fontId="42" fillId="0" borderId="0" applyFont="0" applyFill="0" applyBorder="0" applyAlignment="0" applyProtection="0"/>
    <xf numFmtId="0" fontId="47" fillId="16" borderId="5" applyNumberFormat="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1" fillId="0" borderId="6" applyNumberFormat="0" applyFill="0" applyAlignment="0" applyProtection="0"/>
    <xf numFmtId="0" fontId="52" fillId="0" borderId="7" applyNumberFormat="0" applyFill="0" applyAlignment="0" applyProtection="0"/>
    <xf numFmtId="0" fontId="40" fillId="0" borderId="8" applyNumberFormat="0" applyFill="0" applyAlignment="0" applyProtection="0"/>
    <xf numFmtId="0" fontId="42" fillId="0" borderId="9" applyNumberFormat="0" applyFont="0" applyFill="0" applyAlignment="0" applyProtection="0"/>
    <xf numFmtId="178" fontId="68" fillId="0" borderId="0"/>
    <xf numFmtId="178" fontId="18" fillId="0" borderId="0"/>
    <xf numFmtId="0" fontId="18" fillId="0" borderId="0"/>
    <xf numFmtId="0" fontId="80" fillId="0" borderId="0"/>
    <xf numFmtId="0" fontId="18" fillId="0" borderId="0"/>
    <xf numFmtId="178" fontId="18" fillId="0" borderId="0"/>
    <xf numFmtId="178" fontId="18" fillId="0" borderId="0"/>
    <xf numFmtId="178" fontId="78" fillId="0" borderId="0"/>
    <xf numFmtId="178" fontId="18" fillId="0" borderId="0"/>
    <xf numFmtId="178" fontId="18" fillId="0" borderId="0"/>
    <xf numFmtId="178" fontId="18" fillId="0" borderId="0"/>
    <xf numFmtId="0" fontId="18" fillId="0" borderId="0"/>
    <xf numFmtId="0" fontId="18" fillId="0" borderId="0"/>
    <xf numFmtId="0" fontId="18" fillId="0" borderId="0"/>
    <xf numFmtId="178" fontId="18" fillId="0" borderId="0"/>
    <xf numFmtId="0" fontId="93" fillId="0" borderId="0"/>
    <xf numFmtId="178" fontId="18" fillId="0" borderId="0"/>
    <xf numFmtId="0" fontId="17" fillId="0" borderId="0"/>
    <xf numFmtId="0" fontId="18" fillId="0" borderId="0"/>
    <xf numFmtId="0" fontId="16" fillId="0" borderId="0"/>
    <xf numFmtId="42" fontId="16" fillId="0" borderId="0" applyFont="0" applyFill="0" applyBorder="0" applyAlignment="0" applyProtection="0"/>
    <xf numFmtId="42" fontId="18" fillId="0" borderId="0" applyFont="0" applyFill="0" applyBorder="0" applyAlignment="0" applyProtection="0"/>
    <xf numFmtId="9" fontId="16" fillId="0" borderId="0" applyFont="0" applyFill="0" applyBorder="0" applyAlignment="0" applyProtection="0"/>
    <xf numFmtId="42" fontId="108" fillId="0" borderId="0" applyFont="0" applyFill="0" applyBorder="0" applyAlignment="0" applyProtection="0"/>
    <xf numFmtId="0" fontId="15" fillId="0" borderId="0"/>
    <xf numFmtId="0" fontId="18" fillId="0" borderId="0"/>
    <xf numFmtId="0" fontId="14" fillId="0" borderId="0"/>
    <xf numFmtId="0" fontId="93" fillId="0" borderId="0"/>
    <xf numFmtId="0" fontId="18" fillId="0" borderId="0"/>
    <xf numFmtId="178" fontId="18" fillId="0" borderId="0"/>
    <xf numFmtId="9" fontId="14" fillId="0" borderId="0" applyFont="0" applyFill="0" applyBorder="0" applyAlignment="0" applyProtection="0"/>
    <xf numFmtId="178" fontId="18" fillId="0" borderId="0"/>
    <xf numFmtId="9" fontId="18" fillId="0" borderId="0" applyFont="0" applyFill="0" applyBorder="0" applyAlignment="0" applyProtection="0"/>
    <xf numFmtId="0" fontId="18" fillId="0" borderId="0"/>
    <xf numFmtId="165" fontId="14" fillId="0" borderId="0" applyFont="0" applyFill="0" applyBorder="0" applyAlignment="0" applyProtection="0"/>
    <xf numFmtId="43" fontId="14" fillId="0" borderId="0" applyFont="0" applyFill="0" applyBorder="0" applyAlignment="0" applyProtection="0"/>
    <xf numFmtId="0" fontId="13" fillId="0" borderId="0"/>
    <xf numFmtId="0" fontId="12" fillId="0" borderId="0"/>
    <xf numFmtId="0" fontId="145" fillId="0" borderId="0" applyNumberFormat="0" applyFill="0" applyBorder="0" applyAlignment="0" applyProtection="0"/>
    <xf numFmtId="0" fontId="11" fillId="0" borderId="0"/>
    <xf numFmtId="0" fontId="10" fillId="0" borderId="0"/>
    <xf numFmtId="0" fontId="9" fillId="0" borderId="0"/>
    <xf numFmtId="9" fontId="9" fillId="0" borderId="0" applyFont="0" applyFill="0" applyBorder="0" applyAlignment="0" applyProtection="0"/>
    <xf numFmtId="0" fontId="8" fillId="0" borderId="0"/>
    <xf numFmtId="0" fontId="7" fillId="0" borderId="0"/>
  </cellStyleXfs>
  <cellXfs count="2187">
    <xf numFmtId="0" fontId="0" fillId="0" borderId="0" xfId="0"/>
    <xf numFmtId="2" fontId="0" fillId="0" borderId="0" xfId="0" applyNumberFormat="1" applyAlignment="1">
      <alignment horizontal="center"/>
    </xf>
    <xf numFmtId="0" fontId="0" fillId="0" borderId="0" xfId="0" applyAlignment="1">
      <alignment horizontal="center"/>
    </xf>
    <xf numFmtId="1" fontId="0" fillId="0" borderId="0" xfId="0" applyNumberFormat="1"/>
    <xf numFmtId="0" fontId="25" fillId="0" borderId="0" xfId="0" applyFont="1" applyAlignment="1">
      <alignment horizontal="center"/>
    </xf>
    <xf numFmtId="0" fontId="0" fillId="24" borderId="0" xfId="0" applyFill="1" applyAlignment="1">
      <alignment horizontal="center"/>
    </xf>
    <xf numFmtId="0" fontId="19" fillId="25" borderId="15" xfId="0" applyFont="1" applyFill="1" applyBorder="1" applyAlignment="1">
      <alignment horizontal="center" vertical="center"/>
    </xf>
    <xf numFmtId="0" fontId="0" fillId="0" borderId="17" xfId="0" applyBorder="1"/>
    <xf numFmtId="0" fontId="0" fillId="0" borderId="18" xfId="0" applyBorder="1"/>
    <xf numFmtId="0" fontId="18" fillId="0" borderId="0" xfId="48">
      <alignment vertical="top"/>
    </xf>
    <xf numFmtId="0" fontId="54" fillId="0" borderId="15" xfId="48" applyFont="1" applyBorder="1" applyAlignment="1">
      <alignment horizontal="center" vertical="top"/>
    </xf>
    <xf numFmtId="173" fontId="53" fillId="0" borderId="15" xfId="48" applyNumberFormat="1" applyFont="1" applyBorder="1" applyAlignment="1">
      <alignment horizontal="center" vertical="top"/>
    </xf>
    <xf numFmtId="0" fontId="54" fillId="0" borderId="15" xfId="48" applyFont="1" applyBorder="1" applyAlignment="1">
      <alignment horizontal="center" vertical="top" wrapText="1"/>
    </xf>
    <xf numFmtId="173" fontId="53" fillId="0" borderId="15" xfId="48" applyNumberFormat="1" applyFont="1" applyBorder="1" applyAlignment="1">
      <alignment horizontal="center" vertical="top" wrapText="1"/>
    </xf>
    <xf numFmtId="0" fontId="18" fillId="0" borderId="0" xfId="48" applyAlignment="1">
      <alignment horizontal="center" vertical="top"/>
    </xf>
    <xf numFmtId="0" fontId="54" fillId="0" borderId="19" xfId="48" applyFont="1" applyBorder="1" applyAlignment="1">
      <alignment horizontal="center" vertical="top"/>
    </xf>
    <xf numFmtId="173" fontId="53" fillId="0" borderId="19" xfId="48" applyNumberFormat="1" applyFont="1" applyBorder="1" applyAlignment="1">
      <alignment horizontal="center" vertical="top"/>
    </xf>
    <xf numFmtId="0" fontId="54" fillId="0" borderId="20" xfId="48" applyFont="1" applyBorder="1" applyAlignment="1">
      <alignment horizontal="center" vertical="top"/>
    </xf>
    <xf numFmtId="173" fontId="53" fillId="0" borderId="20" xfId="48" applyNumberFormat="1" applyFont="1" applyBorder="1" applyAlignment="1">
      <alignment horizontal="center" vertical="top"/>
    </xf>
    <xf numFmtId="0" fontId="54" fillId="0" borderId="20" xfId="48" applyFont="1" applyBorder="1" applyAlignment="1">
      <alignment horizontal="center" vertical="top" wrapText="1"/>
    </xf>
    <xf numFmtId="173" fontId="53" fillId="0" borderId="20" xfId="48" applyNumberFormat="1" applyFont="1" applyBorder="1" applyAlignment="1">
      <alignment horizontal="center" vertical="top" wrapText="1"/>
    </xf>
    <xf numFmtId="0" fontId="54" fillId="0" borderId="21" xfId="48" applyFont="1" applyBorder="1" applyAlignment="1">
      <alignment horizontal="center" vertical="top"/>
    </xf>
    <xf numFmtId="173" fontId="53" fillId="0" borderId="21" xfId="48" applyNumberFormat="1" applyFont="1" applyBorder="1" applyAlignment="1">
      <alignment horizontal="center" vertical="top"/>
    </xf>
    <xf numFmtId="0" fontId="54" fillId="0" borderId="22" xfId="48" applyFont="1" applyBorder="1" applyAlignment="1">
      <alignment horizontal="center" vertical="top"/>
    </xf>
    <xf numFmtId="173" fontId="53" fillId="0" borderId="22" xfId="48" applyNumberFormat="1" applyFont="1" applyBorder="1" applyAlignment="1">
      <alignment horizontal="center" vertical="top"/>
    </xf>
    <xf numFmtId="173" fontId="53" fillId="0" borderId="23" xfId="48" applyNumberFormat="1" applyFont="1" applyBorder="1" applyAlignment="1">
      <alignment horizontal="center" vertical="top"/>
    </xf>
    <xf numFmtId="173" fontId="53" fillId="0" borderId="24" xfId="48" applyNumberFormat="1" applyFont="1" applyBorder="1" applyAlignment="1">
      <alignment horizontal="center" vertical="top"/>
    </xf>
    <xf numFmtId="173" fontId="53" fillId="0" borderId="25" xfId="48" applyNumberFormat="1" applyFont="1" applyBorder="1" applyAlignment="1">
      <alignment horizontal="center" vertical="top"/>
    </xf>
    <xf numFmtId="0" fontId="53" fillId="0" borderId="29" xfId="48" applyFont="1" applyBorder="1" applyAlignment="1">
      <alignment vertical="top" wrapText="1"/>
    </xf>
    <xf numFmtId="0" fontId="54" fillId="0" borderId="21" xfId="48" applyFont="1" applyBorder="1" applyAlignment="1">
      <alignment horizontal="center" vertical="center"/>
    </xf>
    <xf numFmtId="0" fontId="55" fillId="0" borderId="21" xfId="48" applyFont="1" applyBorder="1" applyAlignment="1">
      <alignment horizontal="center" vertical="center"/>
    </xf>
    <xf numFmtId="0" fontId="53" fillId="0" borderId="12" xfId="48" applyFont="1" applyBorder="1" applyAlignment="1">
      <alignment vertical="top" wrapText="1"/>
    </xf>
    <xf numFmtId="0" fontId="54" fillId="0" borderId="30" xfId="48" applyFont="1" applyBorder="1" applyAlignment="1">
      <alignment horizontal="center" vertical="center"/>
    </xf>
    <xf numFmtId="173" fontId="53" fillId="0" borderId="31" xfId="48" applyNumberFormat="1" applyFont="1" applyBorder="1" applyAlignment="1">
      <alignment horizontal="center" vertical="top"/>
    </xf>
    <xf numFmtId="173" fontId="53" fillId="0" borderId="30" xfId="48" applyNumberFormat="1" applyFont="1" applyBorder="1" applyAlignment="1">
      <alignment horizontal="center" vertical="top"/>
    </xf>
    <xf numFmtId="0" fontId="0" fillId="0" borderId="15" xfId="0" applyBorder="1" applyAlignment="1">
      <alignment horizontal="center"/>
    </xf>
    <xf numFmtId="0" fontId="54" fillId="0" borderId="15" xfId="48" applyFont="1" applyBorder="1" applyAlignment="1">
      <alignment horizontal="center" vertical="center"/>
    </xf>
    <xf numFmtId="0" fontId="55" fillId="0" borderId="15" xfId="48" applyFont="1" applyBorder="1" applyAlignment="1">
      <alignment horizontal="center" vertical="center"/>
    </xf>
    <xf numFmtId="0" fontId="0" fillId="0" borderId="42" xfId="0" applyBorder="1"/>
    <xf numFmtId="0" fontId="0" fillId="0" borderId="14" xfId="0" applyBorder="1"/>
    <xf numFmtId="0" fontId="0" fillId="0" borderId="40" xfId="0" applyBorder="1"/>
    <xf numFmtId="0" fontId="0" fillId="0" borderId="41" xfId="0" applyBorder="1"/>
    <xf numFmtId="0" fontId="25" fillId="0" borderId="35" xfId="0" applyFont="1" applyBorder="1" applyAlignment="1">
      <alignment horizontal="center"/>
    </xf>
    <xf numFmtId="0" fontId="25" fillId="0" borderId="46" xfId="0" applyFont="1" applyBorder="1" applyAlignment="1">
      <alignment horizontal="center"/>
    </xf>
    <xf numFmtId="0" fontId="0" fillId="26" borderId="14" xfId="0" applyFill="1" applyBorder="1"/>
    <xf numFmtId="0" fontId="0" fillId="26" borderId="17" xfId="0" applyFill="1" applyBorder="1"/>
    <xf numFmtId="0" fontId="0" fillId="26" borderId="18" xfId="0" applyFill="1" applyBorder="1"/>
    <xf numFmtId="0" fontId="0" fillId="26" borderId="42" xfId="0" applyFill="1" applyBorder="1"/>
    <xf numFmtId="0" fontId="0" fillId="26" borderId="40" xfId="0" applyFill="1" applyBorder="1"/>
    <xf numFmtId="0" fontId="0" fillId="26" borderId="41" xfId="0" applyFill="1" applyBorder="1"/>
    <xf numFmtId="173" fontId="0" fillId="0" borderId="0" xfId="0" applyNumberFormat="1"/>
    <xf numFmtId="0" fontId="19" fillId="25" borderId="32" xfId="0" applyFont="1" applyFill="1" applyBorder="1" applyAlignment="1">
      <alignment horizontal="center" vertical="center" wrapText="1"/>
    </xf>
    <xf numFmtId="0" fontId="0" fillId="24" borderId="0" xfId="0" applyFill="1"/>
    <xf numFmtId="0" fontId="0" fillId="29" borderId="0" xfId="0" applyFill="1"/>
    <xf numFmtId="0" fontId="0" fillId="0" borderId="0" xfId="0" applyAlignment="1">
      <alignment horizontal="center" vertical="center"/>
    </xf>
    <xf numFmtId="0" fontId="25" fillId="27" borderId="46" xfId="0" applyFont="1" applyFill="1" applyBorder="1" applyAlignment="1">
      <alignment horizontal="center"/>
    </xf>
    <xf numFmtId="0" fontId="0" fillId="0" borderId="15" xfId="0" applyBorder="1" applyAlignment="1">
      <alignment horizontal="right"/>
    </xf>
    <xf numFmtId="173" fontId="0" fillId="0" borderId="15" xfId="0" applyNumberFormat="1" applyBorder="1" applyAlignment="1">
      <alignment horizontal="right"/>
    </xf>
    <xf numFmtId="172" fontId="0" fillId="0" borderId="15" xfId="0" applyNumberFormat="1" applyBorder="1" applyAlignment="1">
      <alignment horizontal="right"/>
    </xf>
    <xf numFmtId="173" fontId="53" fillId="27" borderId="22" xfId="48" applyNumberFormat="1" applyFont="1" applyFill="1" applyBorder="1" applyAlignment="1">
      <alignment horizontal="center" vertical="top" wrapText="1"/>
    </xf>
    <xf numFmtId="173" fontId="53" fillId="27" borderId="15" xfId="48" applyNumberFormat="1" applyFont="1" applyFill="1" applyBorder="1" applyAlignment="1">
      <alignment horizontal="center" vertical="top" wrapText="1"/>
    </xf>
    <xf numFmtId="173" fontId="53" fillId="27" borderId="24" xfId="48" applyNumberFormat="1" applyFont="1" applyFill="1" applyBorder="1" applyAlignment="1">
      <alignment horizontal="center" vertical="top" wrapText="1"/>
    </xf>
    <xf numFmtId="173" fontId="53" fillId="27" borderId="20" xfId="48" applyNumberFormat="1" applyFont="1" applyFill="1" applyBorder="1" applyAlignment="1">
      <alignment horizontal="center" vertical="top" wrapText="1"/>
    </xf>
    <xf numFmtId="173" fontId="53" fillId="27" borderId="25" xfId="48" applyNumberFormat="1" applyFont="1" applyFill="1" applyBorder="1" applyAlignment="1">
      <alignment horizontal="center" vertical="top" wrapText="1"/>
    </xf>
    <xf numFmtId="0" fontId="53" fillId="0" borderId="26" xfId="48" applyFont="1" applyBorder="1" applyAlignment="1">
      <alignment horizontal="center" vertical="top" wrapText="1"/>
    </xf>
    <xf numFmtId="0" fontId="53" fillId="0" borderId="27" xfId="48" applyFont="1" applyBorder="1" applyAlignment="1">
      <alignment horizontal="center" vertical="top" wrapText="1"/>
    </xf>
    <xf numFmtId="0" fontId="53" fillId="0" borderId="28" xfId="48" applyFont="1" applyBorder="1" applyAlignment="1">
      <alignment horizontal="center" vertical="top" wrapText="1"/>
    </xf>
    <xf numFmtId="173" fontId="53" fillId="27" borderId="43" xfId="48" applyNumberFormat="1" applyFont="1" applyFill="1" applyBorder="1" applyAlignment="1">
      <alignment horizontal="center" vertical="top" wrapText="1"/>
    </xf>
    <xf numFmtId="173" fontId="53" fillId="27" borderId="44" xfId="48" applyNumberFormat="1" applyFont="1" applyFill="1" applyBorder="1" applyAlignment="1">
      <alignment horizontal="center" vertical="top" wrapText="1"/>
    </xf>
    <xf numFmtId="0" fontId="18" fillId="0" borderId="0" xfId="48" applyAlignment="1">
      <alignment horizontal="center" vertical="center"/>
    </xf>
    <xf numFmtId="173" fontId="18" fillId="0" borderId="0" xfId="48" applyNumberFormat="1">
      <alignment vertical="top"/>
    </xf>
    <xf numFmtId="173" fontId="18" fillId="27" borderId="0" xfId="48" applyNumberFormat="1" applyFill="1">
      <alignment vertical="top"/>
    </xf>
    <xf numFmtId="173" fontId="53" fillId="27" borderId="45" xfId="48" applyNumberFormat="1" applyFont="1" applyFill="1" applyBorder="1" applyAlignment="1">
      <alignment horizontal="center" vertical="top" wrapText="1"/>
    </xf>
    <xf numFmtId="9" fontId="0" fillId="0" borderId="0" xfId="0" applyNumberFormat="1"/>
    <xf numFmtId="0" fontId="25" fillId="0" borderId="0" xfId="0" applyFont="1" applyAlignment="1">
      <alignment horizontal="center" vertical="center" wrapText="1"/>
    </xf>
    <xf numFmtId="0" fontId="18" fillId="0" borderId="0" xfId="0" applyFont="1"/>
    <xf numFmtId="0" fontId="18" fillId="0" borderId="15" xfId="0" applyFont="1" applyBorder="1" applyAlignment="1">
      <alignment horizontal="center" vertical="center"/>
    </xf>
    <xf numFmtId="0" fontId="18" fillId="0" borderId="15" xfId="0" applyFont="1" applyBorder="1" applyAlignment="1">
      <alignment horizontal="center" vertical="center" wrapText="1"/>
    </xf>
    <xf numFmtId="0" fontId="18" fillId="0" borderId="15" xfId="0" applyFont="1" applyBorder="1" applyAlignment="1">
      <alignment horizontal="center"/>
    </xf>
    <xf numFmtId="0" fontId="87" fillId="35" borderId="32" xfId="73" applyFont="1" applyFill="1" applyBorder="1" applyAlignment="1">
      <alignment horizontal="center" vertical="center" wrapText="1"/>
    </xf>
    <xf numFmtId="0" fontId="87" fillId="35" borderId="24" xfId="73" applyFont="1" applyFill="1" applyBorder="1" applyAlignment="1">
      <alignment horizontal="center" vertical="center" wrapText="1"/>
    </xf>
    <xf numFmtId="0" fontId="18" fillId="0" borderId="0" xfId="48" applyAlignment="1">
      <alignment vertical="top" wrapText="1"/>
    </xf>
    <xf numFmtId="0" fontId="18" fillId="27" borderId="0" xfId="74" applyFill="1" applyAlignment="1">
      <alignment horizontal="center"/>
    </xf>
    <xf numFmtId="0" fontId="18" fillId="0" borderId="0" xfId="74" applyAlignment="1">
      <alignment horizontal="center"/>
    </xf>
    <xf numFmtId="0" fontId="18" fillId="36" borderId="0" xfId="74" applyFill="1" applyAlignment="1">
      <alignment horizontal="center"/>
    </xf>
    <xf numFmtId="0" fontId="18" fillId="31" borderId="0" xfId="74" applyFill="1" applyAlignment="1">
      <alignment horizontal="center"/>
    </xf>
    <xf numFmtId="0" fontId="0" fillId="30" borderId="10" xfId="0" applyFill="1" applyBorder="1"/>
    <xf numFmtId="0" fontId="0" fillId="30" borderId="11" xfId="0" applyFill="1" applyBorder="1"/>
    <xf numFmtId="0" fontId="0" fillId="30" borderId="53" xfId="0" applyFill="1" applyBorder="1"/>
    <xf numFmtId="0" fontId="0" fillId="30" borderId="12" xfId="0" applyFill="1" applyBorder="1"/>
    <xf numFmtId="0" fontId="0" fillId="30" borderId="0" xfId="0" applyFill="1"/>
    <xf numFmtId="0" fontId="0" fillId="30" borderId="52" xfId="0" applyFill="1" applyBorder="1"/>
    <xf numFmtId="0" fontId="0" fillId="30" borderId="75" xfId="0" applyFill="1" applyBorder="1"/>
    <xf numFmtId="0" fontId="0" fillId="30" borderId="13" xfId="0" applyFill="1" applyBorder="1"/>
    <xf numFmtId="0" fontId="0" fillId="30" borderId="36" xfId="0" applyFill="1" applyBorder="1"/>
    <xf numFmtId="0" fontId="0" fillId="33" borderId="10" xfId="0" applyFill="1" applyBorder="1"/>
    <xf numFmtId="0" fontId="0" fillId="33" borderId="11" xfId="0" applyFill="1" applyBorder="1"/>
    <xf numFmtId="0" fontId="0" fillId="33" borderId="53" xfId="0" applyFill="1" applyBorder="1"/>
    <xf numFmtId="0" fontId="0" fillId="33" borderId="12" xfId="0" applyFill="1" applyBorder="1"/>
    <xf numFmtId="0" fontId="0" fillId="33" borderId="0" xfId="0" applyFill="1"/>
    <xf numFmtId="0" fontId="0" fillId="33" borderId="52" xfId="0" applyFill="1" applyBorder="1"/>
    <xf numFmtId="0" fontId="0" fillId="37" borderId="10" xfId="0" applyFill="1" applyBorder="1"/>
    <xf numFmtId="0" fontId="0" fillId="37" borderId="11" xfId="0" applyFill="1" applyBorder="1"/>
    <xf numFmtId="0" fontId="0" fillId="37" borderId="53" xfId="0" applyFill="1" applyBorder="1"/>
    <xf numFmtId="0" fontId="0" fillId="37" borderId="12" xfId="0" applyFill="1" applyBorder="1"/>
    <xf numFmtId="0" fontId="0" fillId="37" borderId="0" xfId="0" applyFill="1"/>
    <xf numFmtId="0" fontId="0" fillId="37" borderId="52" xfId="0" applyFill="1" applyBorder="1"/>
    <xf numFmtId="0" fontId="0" fillId="37" borderId="75" xfId="0" applyFill="1" applyBorder="1"/>
    <xf numFmtId="0" fontId="0" fillId="37" borderId="13" xfId="0" applyFill="1" applyBorder="1"/>
    <xf numFmtId="0" fontId="0" fillId="37" borderId="36" xfId="0" applyFill="1" applyBorder="1"/>
    <xf numFmtId="0" fontId="0" fillId="32" borderId="10" xfId="0" applyFill="1" applyBorder="1"/>
    <xf numFmtId="0" fontId="0" fillId="32" borderId="11" xfId="0" applyFill="1" applyBorder="1"/>
    <xf numFmtId="0" fontId="0" fillId="32" borderId="53" xfId="0" applyFill="1" applyBorder="1"/>
    <xf numFmtId="0" fontId="0" fillId="32" borderId="12" xfId="0" applyFill="1" applyBorder="1"/>
    <xf numFmtId="0" fontId="0" fillId="32" borderId="0" xfId="0" applyFill="1"/>
    <xf numFmtId="0" fontId="0" fillId="32" borderId="52" xfId="0" applyFill="1" applyBorder="1"/>
    <xf numFmtId="0" fontId="0" fillId="32" borderId="75" xfId="0" applyFill="1" applyBorder="1"/>
    <xf numFmtId="0" fontId="0" fillId="32" borderId="13" xfId="0" applyFill="1" applyBorder="1"/>
    <xf numFmtId="0" fontId="0" fillId="32" borderId="36" xfId="0" applyFill="1" applyBorder="1"/>
    <xf numFmtId="0" fontId="0" fillId="28" borderId="10" xfId="0" applyFill="1" applyBorder="1"/>
    <xf numFmtId="0" fontId="0" fillId="28" borderId="11" xfId="0" applyFill="1" applyBorder="1"/>
    <xf numFmtId="0" fontId="0" fillId="28" borderId="53" xfId="0" applyFill="1" applyBorder="1"/>
    <xf numFmtId="0" fontId="0" fillId="28" borderId="12" xfId="0" applyFill="1" applyBorder="1"/>
    <xf numFmtId="0" fontId="0" fillId="28" borderId="0" xfId="0" applyFill="1"/>
    <xf numFmtId="0" fontId="0" fillId="28" borderId="52" xfId="0" applyFill="1" applyBorder="1"/>
    <xf numFmtId="0" fontId="0" fillId="28" borderId="75" xfId="0" applyFill="1" applyBorder="1"/>
    <xf numFmtId="0" fontId="0" fillId="28" borderId="13" xfId="0" applyFill="1" applyBorder="1"/>
    <xf numFmtId="0" fontId="0" fillId="28" borderId="36" xfId="0" applyFill="1" applyBorder="1"/>
    <xf numFmtId="0" fontId="0" fillId="38" borderId="10" xfId="0" applyFill="1" applyBorder="1"/>
    <xf numFmtId="0" fontId="0" fillId="38" borderId="11" xfId="0" applyFill="1" applyBorder="1"/>
    <xf numFmtId="0" fontId="0" fillId="38" borderId="53" xfId="0" applyFill="1" applyBorder="1"/>
    <xf numFmtId="0" fontId="0" fillId="38" borderId="12" xfId="0" applyFill="1" applyBorder="1"/>
    <xf numFmtId="0" fontId="0" fillId="38" borderId="0" xfId="0" applyFill="1"/>
    <xf numFmtId="0" fontId="0" fillId="38" borderId="52" xfId="0" applyFill="1" applyBorder="1"/>
    <xf numFmtId="0" fontId="0" fillId="38" borderId="75" xfId="0" applyFill="1" applyBorder="1"/>
    <xf numFmtId="0" fontId="0" fillId="38" borderId="13" xfId="0" applyFill="1" applyBorder="1"/>
    <xf numFmtId="0" fontId="0" fillId="38" borderId="36" xfId="0" applyFill="1" applyBorder="1"/>
    <xf numFmtId="0" fontId="0" fillId="39" borderId="10" xfId="0" applyFill="1" applyBorder="1"/>
    <xf numFmtId="0" fontId="0" fillId="39" borderId="11" xfId="0" applyFill="1" applyBorder="1"/>
    <xf numFmtId="0" fontId="0" fillId="39" borderId="53" xfId="0" applyFill="1" applyBorder="1"/>
    <xf numFmtId="0" fontId="0" fillId="39" borderId="12" xfId="0" applyFill="1" applyBorder="1"/>
    <xf numFmtId="0" fontId="0" fillId="39" borderId="0" xfId="0" applyFill="1"/>
    <xf numFmtId="0" fontId="0" fillId="39" borderId="52" xfId="0" applyFill="1" applyBorder="1"/>
    <xf numFmtId="0" fontId="18" fillId="0" borderId="0" xfId="0" applyFont="1" applyAlignment="1">
      <alignment wrapText="1"/>
    </xf>
    <xf numFmtId="1" fontId="18" fillId="0" borderId="15" xfId="0" applyNumberFormat="1" applyFont="1" applyBorder="1" applyAlignment="1">
      <alignment horizontal="center" vertical="center"/>
    </xf>
    <xf numFmtId="173" fontId="18" fillId="0" borderId="15" xfId="0" applyNumberFormat="1" applyFont="1" applyBorder="1" applyAlignment="1">
      <alignment horizontal="center" vertical="center"/>
    </xf>
    <xf numFmtId="2" fontId="18" fillId="0" borderId="15" xfId="0" applyNumberFormat="1" applyFont="1" applyBorder="1" applyAlignment="1">
      <alignment horizontal="center" vertical="center"/>
    </xf>
    <xf numFmtId="166" fontId="18" fillId="0" borderId="15" xfId="0" applyNumberFormat="1" applyFont="1" applyBorder="1" applyAlignment="1">
      <alignment horizontal="center" vertical="center"/>
    </xf>
    <xf numFmtId="0" fontId="18" fillId="24" borderId="0" xfId="0" applyFont="1" applyFill="1"/>
    <xf numFmtId="0" fontId="18" fillId="0" borderId="0" xfId="0" applyFont="1" applyAlignment="1">
      <alignment horizontal="center" vertical="center"/>
    </xf>
    <xf numFmtId="0" fontId="18" fillId="0" borderId="0" xfId="0" applyFont="1" applyAlignment="1">
      <alignment horizontal="center"/>
    </xf>
    <xf numFmtId="0" fontId="18" fillId="0" borderId="15" xfId="0" applyFont="1" applyBorder="1" applyAlignment="1">
      <alignment horizontal="right"/>
    </xf>
    <xf numFmtId="172" fontId="18" fillId="0" borderId="15" xfId="0" applyNumberFormat="1" applyFont="1" applyBorder="1" applyAlignment="1">
      <alignment horizontal="center"/>
    </xf>
    <xf numFmtId="0" fontId="18" fillId="27" borderId="15" xfId="0" applyFont="1" applyFill="1" applyBorder="1" applyAlignment="1">
      <alignment horizontal="center"/>
    </xf>
    <xf numFmtId="0" fontId="25" fillId="0" borderId="15" xfId="0" applyFont="1" applyBorder="1" applyAlignment="1">
      <alignment horizontal="center" vertical="center" wrapText="1"/>
    </xf>
    <xf numFmtId="0" fontId="18" fillId="0" borderId="15" xfId="0" applyFont="1" applyBorder="1"/>
    <xf numFmtId="0" fontId="0" fillId="0" borderId="15" xfId="0" applyBorder="1" applyAlignment="1">
      <alignment horizontal="center" vertical="center"/>
    </xf>
    <xf numFmtId="0" fontId="18" fillId="0" borderId="0" xfId="0" quotePrefix="1" applyFont="1" applyAlignment="1">
      <alignment horizontal="center" vertical="center"/>
    </xf>
    <xf numFmtId="0" fontId="18" fillId="0" borderId="0" xfId="0" applyFont="1" applyAlignment="1">
      <alignment horizontal="center" vertical="center" wrapText="1"/>
    </xf>
    <xf numFmtId="0" fontId="0" fillId="0" borderId="0" xfId="0" applyAlignment="1">
      <alignment vertical="center"/>
    </xf>
    <xf numFmtId="1" fontId="0" fillId="0" borderId="0" xfId="0" applyNumberFormat="1" applyAlignment="1">
      <alignment vertical="center"/>
    </xf>
    <xf numFmtId="0" fontId="18" fillId="27" borderId="15" xfId="0" applyFont="1" applyFill="1" applyBorder="1" applyAlignment="1">
      <alignment horizontal="center" vertical="center"/>
    </xf>
    <xf numFmtId="0" fontId="0" fillId="0" borderId="0" xfId="0" applyAlignment="1">
      <alignment horizontal="center" vertical="center" wrapText="1"/>
    </xf>
    <xf numFmtId="1" fontId="0" fillId="0" borderId="0" xfId="0" applyNumberFormat="1" applyAlignment="1">
      <alignment wrapText="1"/>
    </xf>
    <xf numFmtId="0" fontId="0" fillId="0" borderId="0" xfId="0" applyAlignment="1">
      <alignment wrapText="1"/>
    </xf>
    <xf numFmtId="0" fontId="25" fillId="27" borderId="15" xfId="0" applyFont="1" applyFill="1" applyBorder="1" applyAlignment="1">
      <alignment horizontal="center"/>
    </xf>
    <xf numFmtId="0" fontId="18" fillId="0" borderId="0" xfId="0" quotePrefix="1" applyFont="1"/>
    <xf numFmtId="2" fontId="0" fillId="0" borderId="0" xfId="0" applyNumberFormat="1"/>
    <xf numFmtId="0" fontId="25" fillId="0" borderId="0" xfId="0" applyFont="1" applyAlignment="1">
      <alignment horizontal="center" vertical="center"/>
    </xf>
    <xf numFmtId="9" fontId="18" fillId="0" borderId="0" xfId="0" applyNumberFormat="1" applyFont="1" applyAlignment="1">
      <alignment horizontal="center" vertical="center"/>
    </xf>
    <xf numFmtId="0" fontId="0" fillId="30" borderId="11" xfId="0" applyFill="1" applyBorder="1" applyAlignment="1">
      <alignment horizontal="center" vertical="center"/>
    </xf>
    <xf numFmtId="0" fontId="0" fillId="30" borderId="0" xfId="0" applyFill="1" applyAlignment="1">
      <alignment horizontal="center" vertical="center"/>
    </xf>
    <xf numFmtId="0" fontId="0" fillId="30" borderId="13" xfId="0" applyFill="1" applyBorder="1" applyAlignment="1">
      <alignment horizontal="center" vertical="center"/>
    </xf>
    <xf numFmtId="0" fontId="0" fillId="33" borderId="11" xfId="0" applyFill="1" applyBorder="1" applyAlignment="1">
      <alignment horizontal="center" vertical="center"/>
    </xf>
    <xf numFmtId="0" fontId="0" fillId="33" borderId="0" xfId="0" applyFill="1" applyAlignment="1">
      <alignment horizontal="center" vertical="center"/>
    </xf>
    <xf numFmtId="0" fontId="0" fillId="37" borderId="11" xfId="0" applyFill="1" applyBorder="1" applyAlignment="1">
      <alignment horizontal="center" vertical="center"/>
    </xf>
    <xf numFmtId="0" fontId="0" fillId="37" borderId="0" xfId="0" applyFill="1" applyAlignment="1">
      <alignment horizontal="center" vertical="center"/>
    </xf>
    <xf numFmtId="0" fontId="0" fillId="37" borderId="13" xfId="0" applyFill="1" applyBorder="1" applyAlignment="1">
      <alignment horizontal="center" vertical="center"/>
    </xf>
    <xf numFmtId="0" fontId="0" fillId="32" borderId="11" xfId="0" applyFill="1" applyBorder="1" applyAlignment="1">
      <alignment horizontal="center" vertical="center"/>
    </xf>
    <xf numFmtId="0" fontId="0" fillId="32" borderId="0" xfId="0" applyFill="1" applyAlignment="1">
      <alignment horizontal="center" vertical="center"/>
    </xf>
    <xf numFmtId="0" fontId="0" fillId="32" borderId="13" xfId="0" applyFill="1" applyBorder="1" applyAlignment="1">
      <alignment horizontal="center" vertical="center"/>
    </xf>
    <xf numFmtId="0" fontId="0" fillId="28" borderId="11" xfId="0" applyFill="1" applyBorder="1" applyAlignment="1">
      <alignment horizontal="center" vertical="center"/>
    </xf>
    <xf numFmtId="0" fontId="0" fillId="28" borderId="0" xfId="0" applyFill="1" applyAlignment="1">
      <alignment horizontal="center" vertical="center"/>
    </xf>
    <xf numFmtId="0" fontId="0" fillId="28" borderId="13" xfId="0" applyFill="1" applyBorder="1" applyAlignment="1">
      <alignment horizontal="center" vertical="center"/>
    </xf>
    <xf numFmtId="0" fontId="0" fillId="38" borderId="11" xfId="0" applyFill="1" applyBorder="1" applyAlignment="1">
      <alignment horizontal="center" vertical="center"/>
    </xf>
    <xf numFmtId="0" fontId="0" fillId="38" borderId="0" xfId="0" applyFill="1" applyAlignment="1">
      <alignment horizontal="center" vertical="center"/>
    </xf>
    <xf numFmtId="0" fontId="0" fillId="38" borderId="13" xfId="0" applyFill="1" applyBorder="1" applyAlignment="1">
      <alignment horizontal="center" vertical="center"/>
    </xf>
    <xf numFmtId="0" fontId="0" fillId="39" borderId="11" xfId="0" applyFill="1" applyBorder="1" applyAlignment="1">
      <alignment horizontal="center" vertical="center"/>
    </xf>
    <xf numFmtId="0" fontId="0" fillId="39" borderId="0" xfId="0" applyFill="1" applyAlignment="1">
      <alignment horizontal="center" vertical="center"/>
    </xf>
    <xf numFmtId="2" fontId="0" fillId="0" borderId="34" xfId="0" applyNumberFormat="1" applyBorder="1" applyAlignment="1">
      <alignment horizontal="center"/>
    </xf>
    <xf numFmtId="2" fontId="0" fillId="0" borderId="40" xfId="0" applyNumberFormat="1" applyBorder="1" applyAlignment="1">
      <alignment horizontal="center"/>
    </xf>
    <xf numFmtId="2" fontId="0" fillId="0" borderId="15" xfId="0" applyNumberFormat="1" applyBorder="1" applyAlignment="1">
      <alignment horizontal="center" vertical="center"/>
    </xf>
    <xf numFmtId="2" fontId="0" fillId="0" borderId="51" xfId="0" applyNumberFormat="1" applyBorder="1" applyAlignment="1">
      <alignment horizontal="center"/>
    </xf>
    <xf numFmtId="2" fontId="0" fillId="0" borderId="39" xfId="0" applyNumberFormat="1" applyBorder="1" applyAlignment="1">
      <alignment horizontal="center"/>
    </xf>
    <xf numFmtId="2" fontId="0" fillId="0" borderId="15" xfId="0" applyNumberFormat="1" applyBorder="1" applyAlignment="1">
      <alignment horizontal="center"/>
    </xf>
    <xf numFmtId="0" fontId="0" fillId="27" borderId="15" xfId="0" applyFill="1" applyBorder="1" applyAlignment="1">
      <alignment horizontal="center" vertical="center"/>
    </xf>
    <xf numFmtId="2" fontId="0" fillId="27" borderId="15" xfId="0" applyNumberFormat="1" applyFill="1" applyBorder="1" applyAlignment="1">
      <alignment horizontal="center" vertical="center"/>
    </xf>
    <xf numFmtId="2" fontId="0" fillId="27" borderId="51" xfId="0" applyNumberFormat="1" applyFill="1" applyBorder="1" applyAlignment="1">
      <alignment horizontal="center"/>
    </xf>
    <xf numFmtId="2" fontId="0" fillId="27" borderId="40" xfId="0" applyNumberFormat="1" applyFill="1" applyBorder="1" applyAlignment="1">
      <alignment horizontal="center"/>
    </xf>
    <xf numFmtId="2" fontId="0" fillId="27" borderId="34" xfId="0" applyNumberFormat="1" applyFill="1" applyBorder="1" applyAlignment="1">
      <alignment horizontal="center"/>
    </xf>
    <xf numFmtId="2" fontId="0" fillId="27" borderId="15" xfId="0" applyNumberFormat="1" applyFill="1" applyBorder="1" applyAlignment="1">
      <alignment horizontal="center"/>
    </xf>
    <xf numFmtId="0" fontId="0" fillId="27" borderId="0" xfId="0" applyFill="1"/>
    <xf numFmtId="2" fontId="0" fillId="27" borderId="34" xfId="0" applyNumberFormat="1" applyFill="1" applyBorder="1"/>
    <xf numFmtId="2" fontId="0" fillId="27" borderId="15" xfId="0" applyNumberFormat="1" applyFill="1" applyBorder="1"/>
    <xf numFmtId="2" fontId="0" fillId="27" borderId="51" xfId="0" applyNumberFormat="1" applyFill="1" applyBorder="1"/>
    <xf numFmtId="2" fontId="0" fillId="27" borderId="41" xfId="0" applyNumberFormat="1" applyFill="1" applyBorder="1" applyAlignment="1">
      <alignment horizontal="center"/>
    </xf>
    <xf numFmtId="0" fontId="25" fillId="0" borderId="15" xfId="0" applyFont="1" applyBorder="1" applyAlignment="1">
      <alignment horizontal="center" vertical="center"/>
    </xf>
    <xf numFmtId="172" fontId="18" fillId="0" borderId="15" xfId="0" applyNumberFormat="1" applyFont="1" applyBorder="1" applyAlignment="1">
      <alignment horizontal="center" vertical="center"/>
    </xf>
    <xf numFmtId="185" fontId="0" fillId="0" borderId="29" xfId="0" applyNumberFormat="1" applyBorder="1" applyAlignment="1">
      <alignment horizontal="center" vertical="center"/>
    </xf>
    <xf numFmtId="185" fontId="0" fillId="0" borderId="37" xfId="0" applyNumberFormat="1" applyBorder="1" applyAlignment="1">
      <alignment horizontal="center" vertical="center"/>
    </xf>
    <xf numFmtId="183" fontId="0" fillId="0" borderId="48" xfId="0" applyNumberFormat="1" applyBorder="1" applyAlignment="1">
      <alignment horizontal="center" vertical="center"/>
    </xf>
    <xf numFmtId="0" fontId="0" fillId="0" borderId="29" xfId="0" applyBorder="1" applyAlignment="1">
      <alignment horizontal="center" vertical="center"/>
    </xf>
    <xf numFmtId="183" fontId="0" fillId="0" borderId="49" xfId="0" applyNumberFormat="1" applyBorder="1" applyAlignment="1">
      <alignment horizontal="center" vertical="center"/>
    </xf>
    <xf numFmtId="0" fontId="0" fillId="0" borderId="37" xfId="0" applyBorder="1" applyAlignment="1">
      <alignment horizontal="center" vertical="center"/>
    </xf>
    <xf numFmtId="0" fontId="25" fillId="0" borderId="51" xfId="0" applyFont="1" applyBorder="1" applyAlignment="1">
      <alignment horizontal="center" vertical="center"/>
    </xf>
    <xf numFmtId="0" fontId="25" fillId="0" borderId="34" xfId="0" applyFont="1" applyBorder="1" applyAlignment="1">
      <alignment horizontal="center" vertical="center"/>
    </xf>
    <xf numFmtId="183" fontId="0" fillId="0" borderId="33" xfId="0" applyNumberFormat="1" applyBorder="1" applyAlignment="1">
      <alignment horizontal="center" vertical="center"/>
    </xf>
    <xf numFmtId="185" fontId="0" fillId="0" borderId="38" xfId="0" applyNumberFormat="1" applyBorder="1" applyAlignment="1">
      <alignment horizontal="center" vertical="center"/>
    </xf>
    <xf numFmtId="184" fontId="0" fillId="0" borderId="21" xfId="0" applyNumberFormat="1" applyBorder="1" applyAlignment="1">
      <alignment horizontal="center" vertical="center"/>
    </xf>
    <xf numFmtId="184" fontId="0" fillId="0" borderId="47" xfId="0" applyNumberFormat="1" applyBorder="1" applyAlignment="1">
      <alignment horizontal="center" vertical="center"/>
    </xf>
    <xf numFmtId="0" fontId="0" fillId="0" borderId="47" xfId="0" applyBorder="1" applyAlignment="1">
      <alignment horizontal="center" vertical="center"/>
    </xf>
    <xf numFmtId="0" fontId="0" fillId="0" borderId="19" xfId="0" applyBorder="1" applyAlignment="1">
      <alignment horizontal="center" vertical="center"/>
    </xf>
    <xf numFmtId="184" fontId="0" fillId="0" borderId="19" xfId="0" applyNumberFormat="1" applyBorder="1" applyAlignment="1">
      <alignment horizontal="center" vertical="center"/>
    </xf>
    <xf numFmtId="0" fontId="18" fillId="29" borderId="0" xfId="0" applyFont="1" applyFill="1"/>
    <xf numFmtId="0" fontId="18" fillId="0" borderId="0" xfId="0" applyFont="1" applyAlignment="1">
      <alignment vertical="center" wrapText="1"/>
    </xf>
    <xf numFmtId="0" fontId="18" fillId="0" borderId="15" xfId="0" applyFont="1" applyBorder="1" applyAlignment="1">
      <alignment horizontal="center" vertical="justify" wrapText="1"/>
    </xf>
    <xf numFmtId="2" fontId="25" fillId="0" borderId="15" xfId="0" applyNumberFormat="1" applyFont="1" applyBorder="1" applyAlignment="1">
      <alignment horizontal="center" vertical="center"/>
    </xf>
    <xf numFmtId="2" fontId="25" fillId="30" borderId="15" xfId="0" applyNumberFormat="1" applyFont="1" applyFill="1" applyBorder="1" applyAlignment="1">
      <alignment horizontal="center" vertical="center" wrapText="1"/>
    </xf>
    <xf numFmtId="2" fontId="0" fillId="0" borderId="0" xfId="0" applyNumberFormat="1" applyAlignment="1">
      <alignment horizontal="center" vertical="center"/>
    </xf>
    <xf numFmtId="1" fontId="53" fillId="0" borderId="15" xfId="73" applyNumberFormat="1" applyFont="1" applyBorder="1" applyAlignment="1">
      <alignment horizontal="center"/>
    </xf>
    <xf numFmtId="2" fontId="53" fillId="0" borderId="15" xfId="73" applyNumberFormat="1" applyFont="1" applyBorder="1" applyAlignment="1">
      <alignment horizontal="center"/>
    </xf>
    <xf numFmtId="0" fontId="53" fillId="0" borderId="15" xfId="73" quotePrefix="1" applyFont="1" applyBorder="1" applyAlignment="1">
      <alignment horizontal="center"/>
    </xf>
    <xf numFmtId="2" fontId="53" fillId="0" borderId="15" xfId="73" quotePrefix="1" applyNumberFormat="1" applyFont="1" applyBorder="1" applyAlignment="1">
      <alignment horizontal="center"/>
    </xf>
    <xf numFmtId="0" fontId="18" fillId="0" borderId="0" xfId="63"/>
    <xf numFmtId="0" fontId="21" fillId="0" borderId="0" xfId="63" applyFont="1" applyAlignment="1">
      <alignment vertical="center" wrapText="1"/>
    </xf>
    <xf numFmtId="0" fontId="75" fillId="0" borderId="0" xfId="63" applyFont="1" applyAlignment="1">
      <alignment horizontal="center" vertical="top" wrapText="1"/>
    </xf>
    <xf numFmtId="0" fontId="75" fillId="0" borderId="0" xfId="63" applyFont="1" applyAlignment="1">
      <alignment vertical="center" wrapText="1"/>
    </xf>
    <xf numFmtId="0" fontId="18" fillId="0" borderId="0" xfId="63" applyAlignment="1">
      <alignment vertical="center" wrapText="1"/>
    </xf>
    <xf numFmtId="0" fontId="72" fillId="0" borderId="0" xfId="63" applyFont="1" applyAlignment="1">
      <alignment vertical="center" wrapText="1"/>
    </xf>
    <xf numFmtId="0" fontId="72" fillId="0" borderId="0" xfId="63" applyFont="1"/>
    <xf numFmtId="0" fontId="75" fillId="0" borderId="0" xfId="63" applyFont="1" applyAlignment="1">
      <alignment horizontal="left" vertical="center" wrapText="1"/>
    </xf>
    <xf numFmtId="0" fontId="74" fillId="0" borderId="0" xfId="63" applyFont="1" applyAlignment="1">
      <alignment vertical="center" wrapText="1"/>
    </xf>
    <xf numFmtId="0" fontId="82" fillId="0" borderId="0" xfId="65" applyFont="1"/>
    <xf numFmtId="178" fontId="91" fillId="0" borderId="0" xfId="67" applyFont="1" applyAlignment="1">
      <alignment horizontal="left" vertical="center"/>
    </xf>
    <xf numFmtId="178" fontId="91" fillId="0" borderId="0" xfId="67" applyFont="1" applyAlignment="1">
      <alignment vertical="center"/>
    </xf>
    <xf numFmtId="49" fontId="18" fillId="0" borderId="0" xfId="0" applyNumberFormat="1" applyFont="1" applyAlignment="1">
      <alignment horizontal="center" vertical="center"/>
    </xf>
    <xf numFmtId="0" fontId="0" fillId="0" borderId="0" xfId="0" applyAlignment="1">
      <alignment horizontal="right"/>
    </xf>
    <xf numFmtId="0" fontId="0" fillId="0" borderId="0" xfId="0" applyAlignment="1">
      <alignment horizontal="right" vertical="center"/>
    </xf>
    <xf numFmtId="178" fontId="60" fillId="0" borderId="0" xfId="61" applyFont="1" applyAlignment="1">
      <alignment horizontal="center" vertical="center" wrapText="1"/>
    </xf>
    <xf numFmtId="0" fontId="18" fillId="0" borderId="0" xfId="63" applyAlignment="1">
      <alignment horizontal="center" vertical="center"/>
    </xf>
    <xf numFmtId="0" fontId="18" fillId="0" borderId="21" xfId="0" applyFont="1" applyBorder="1" applyAlignment="1">
      <alignment horizontal="center" vertical="center" wrapText="1"/>
    </xf>
    <xf numFmtId="1" fontId="18" fillId="0" borderId="0" xfId="0" applyNumberFormat="1" applyFont="1" applyAlignment="1">
      <alignment wrapText="1"/>
    </xf>
    <xf numFmtId="0" fontId="18" fillId="31" borderId="15" xfId="0" applyFont="1" applyFill="1" applyBorder="1" applyAlignment="1">
      <alignment horizontal="center" vertical="center"/>
    </xf>
    <xf numFmtId="0" fontId="18" fillId="29" borderId="15" xfId="0" applyFont="1" applyFill="1" applyBorder="1" applyAlignment="1">
      <alignment horizontal="center" vertical="center"/>
    </xf>
    <xf numFmtId="18" fontId="18" fillId="0" borderId="15" xfId="0" applyNumberFormat="1" applyFont="1" applyBorder="1" applyAlignment="1">
      <alignment horizontal="center" vertical="center" wrapText="1"/>
    </xf>
    <xf numFmtId="2" fontId="18" fillId="0" borderId="0" xfId="0" applyNumberFormat="1" applyFont="1" applyAlignment="1">
      <alignment horizontal="center" vertical="center"/>
    </xf>
    <xf numFmtId="0" fontId="18" fillId="29" borderId="0" xfId="0" applyFont="1" applyFill="1" applyAlignment="1">
      <alignment horizontal="left" vertical="center"/>
    </xf>
    <xf numFmtId="0" fontId="0" fillId="27" borderId="0" xfId="0" applyFill="1" applyAlignment="1">
      <alignment horizontal="center" vertical="center"/>
    </xf>
    <xf numFmtId="2" fontId="18" fillId="0" borderId="15" xfId="0" applyNumberFormat="1" applyFont="1" applyBorder="1" applyAlignment="1">
      <alignment horizontal="center"/>
    </xf>
    <xf numFmtId="178" fontId="18" fillId="0" borderId="0" xfId="75" applyAlignment="1">
      <alignment horizontal="center" vertical="center"/>
    </xf>
    <xf numFmtId="0" fontId="25" fillId="0" borderId="15" xfId="63" applyFont="1" applyBorder="1" applyAlignment="1">
      <alignment horizontal="center" vertical="center"/>
    </xf>
    <xf numFmtId="178" fontId="25" fillId="0" borderId="15" xfId="75" applyFont="1" applyBorder="1" applyAlignment="1">
      <alignment horizontal="center" vertical="center"/>
    </xf>
    <xf numFmtId="0" fontId="94" fillId="0" borderId="0" xfId="63" applyFont="1" applyAlignment="1">
      <alignment horizontal="center" vertical="center"/>
    </xf>
    <xf numFmtId="0" fontId="18" fillId="0" borderId="0" xfId="63" applyAlignment="1">
      <alignment vertical="center"/>
    </xf>
    <xf numFmtId="0" fontId="18" fillId="27" borderId="0" xfId="0" applyFont="1" applyFill="1" applyAlignment="1">
      <alignment horizontal="center"/>
    </xf>
    <xf numFmtId="0" fontId="18" fillId="27" borderId="0" xfId="0" applyFont="1" applyFill="1" applyAlignment="1">
      <alignment horizontal="center" vertical="center"/>
    </xf>
    <xf numFmtId="186" fontId="25" fillId="0" borderId="15" xfId="0" applyNumberFormat="1" applyFont="1" applyBorder="1" applyAlignment="1">
      <alignment horizontal="center" vertical="center"/>
    </xf>
    <xf numFmtId="12" fontId="0" fillId="27" borderId="14" xfId="0" applyNumberFormat="1" applyFill="1" applyBorder="1"/>
    <xf numFmtId="12" fontId="0" fillId="27" borderId="17" xfId="0" applyNumberFormat="1" applyFill="1" applyBorder="1"/>
    <xf numFmtId="12" fontId="0" fillId="27" borderId="18" xfId="0" applyNumberFormat="1" applyFill="1" applyBorder="1"/>
    <xf numFmtId="0" fontId="18" fillId="0" borderId="15" xfId="0" applyFont="1" applyBorder="1" applyAlignment="1">
      <alignment vertical="center" wrapText="1"/>
    </xf>
    <xf numFmtId="173" fontId="18" fillId="0" borderId="0" xfId="0" applyNumberFormat="1" applyFont="1"/>
    <xf numFmtId="2" fontId="0" fillId="0" borderId="15" xfId="0" applyNumberFormat="1" applyBorder="1" applyAlignment="1">
      <alignment horizontal="right"/>
    </xf>
    <xf numFmtId="172" fontId="18" fillId="0" borderId="15" xfId="0" applyNumberFormat="1" applyFont="1" applyBorder="1" applyAlignment="1">
      <alignment horizontal="right"/>
    </xf>
    <xf numFmtId="0" fontId="18" fillId="0" borderId="19" xfId="0" applyFont="1" applyBorder="1" applyAlignment="1">
      <alignment horizontal="center"/>
    </xf>
    <xf numFmtId="0" fontId="0" fillId="0" borderId="19" xfId="0" applyBorder="1" applyAlignment="1">
      <alignment horizontal="right"/>
    </xf>
    <xf numFmtId="173" fontId="0" fillId="0" borderId="19" xfId="0" applyNumberFormat="1" applyBorder="1" applyAlignment="1">
      <alignment horizontal="right"/>
    </xf>
    <xf numFmtId="172" fontId="18" fillId="0" borderId="19" xfId="0" applyNumberFormat="1" applyFont="1" applyBorder="1" applyAlignment="1">
      <alignment horizontal="right"/>
    </xf>
    <xf numFmtId="2" fontId="18" fillId="0" borderId="19" xfId="0" applyNumberFormat="1" applyFont="1" applyBorder="1" applyAlignment="1">
      <alignment horizontal="center"/>
    </xf>
    <xf numFmtId="0" fontId="18" fillId="27" borderId="19" xfId="0" applyFont="1" applyFill="1" applyBorder="1" applyAlignment="1">
      <alignment horizontal="center"/>
    </xf>
    <xf numFmtId="166" fontId="0" fillId="0" borderId="15" xfId="0" applyNumberFormat="1" applyBorder="1" applyAlignment="1">
      <alignment horizontal="right"/>
    </xf>
    <xf numFmtId="49" fontId="18" fillId="0" borderId="0" xfId="0" applyNumberFormat="1" applyFont="1"/>
    <xf numFmtId="0" fontId="18" fillId="0" borderId="0" xfId="0" applyFont="1" applyAlignment="1">
      <alignment vertical="center"/>
    </xf>
    <xf numFmtId="0" fontId="79" fillId="0" borderId="0" xfId="80" applyFont="1" applyAlignment="1">
      <alignment vertical="center" wrapText="1"/>
    </xf>
    <xf numFmtId="1" fontId="18" fillId="0" borderId="15" xfId="0" applyNumberFormat="1" applyFont="1" applyBorder="1" applyAlignment="1">
      <alignment horizontal="center" vertical="center" wrapText="1"/>
    </xf>
    <xf numFmtId="0" fontId="105" fillId="0" borderId="0" xfId="80" applyFont="1" applyAlignment="1">
      <alignment horizontal="center" vertical="center" wrapText="1"/>
    </xf>
    <xf numFmtId="0" fontId="25" fillId="0" borderId="0" xfId="0" applyFont="1"/>
    <xf numFmtId="0" fontId="18" fillId="0" borderId="15" xfId="0" applyFont="1" applyBorder="1" applyAlignment="1">
      <alignment horizontal="center" wrapText="1"/>
    </xf>
    <xf numFmtId="0" fontId="0" fillId="0" borderId="15" xfId="0" applyBorder="1" applyAlignment="1">
      <alignment horizontal="center" vertical="center" wrapText="1"/>
    </xf>
    <xf numFmtId="11" fontId="0" fillId="0" borderId="0" xfId="0" applyNumberFormat="1"/>
    <xf numFmtId="193" fontId="18" fillId="0" borderId="0" xfId="0" applyNumberFormat="1" applyFont="1"/>
    <xf numFmtId="1" fontId="18" fillId="0" borderId="0" xfId="0" applyNumberFormat="1" applyFont="1" applyAlignment="1">
      <alignment horizontal="center" vertical="center"/>
    </xf>
    <xf numFmtId="0" fontId="0" fillId="0" borderId="15" xfId="0" applyBorder="1" applyAlignment="1">
      <alignment horizontal="center" wrapText="1"/>
    </xf>
    <xf numFmtId="173" fontId="0" fillId="0" borderId="15" xfId="0" applyNumberFormat="1" applyBorder="1" applyAlignment="1">
      <alignment horizontal="center" vertical="center" wrapText="1"/>
    </xf>
    <xf numFmtId="193" fontId="18" fillId="0" borderId="0" xfId="0" applyNumberFormat="1" applyFont="1" applyAlignment="1">
      <alignment horizontal="center" vertical="center" wrapText="1"/>
    </xf>
    <xf numFmtId="193" fontId="18" fillId="0" borderId="15" xfId="0" applyNumberFormat="1" applyFont="1" applyBorder="1" applyAlignment="1">
      <alignment horizontal="center" vertical="center" wrapText="1"/>
    </xf>
    <xf numFmtId="193" fontId="0" fillId="0" borderId="15" xfId="0" applyNumberFormat="1" applyBorder="1" applyAlignment="1">
      <alignment horizontal="center" vertical="center" wrapText="1"/>
    </xf>
    <xf numFmtId="1" fontId="0" fillId="0" borderId="15" xfId="0" applyNumberFormat="1" applyBorder="1" applyAlignment="1">
      <alignment horizontal="center" vertical="center" wrapText="1"/>
    </xf>
    <xf numFmtId="1" fontId="0" fillId="27" borderId="15" xfId="0" applyNumberFormat="1" applyFill="1" applyBorder="1" applyAlignment="1">
      <alignment horizontal="center" vertical="center" wrapText="1"/>
    </xf>
    <xf numFmtId="195" fontId="0" fillId="0" borderId="0" xfId="0" applyNumberFormat="1"/>
    <xf numFmtId="1" fontId="18" fillId="0" borderId="0" xfId="75" applyNumberFormat="1" applyAlignment="1">
      <alignment horizontal="center" vertical="center"/>
    </xf>
    <xf numFmtId="1" fontId="18" fillId="0" borderId="0" xfId="63" applyNumberFormat="1" applyAlignment="1">
      <alignment horizontal="center" vertical="center"/>
    </xf>
    <xf numFmtId="0" fontId="0" fillId="0" borderId="0" xfId="0" applyAlignment="1">
      <alignment horizontal="left" vertical="center" wrapText="1"/>
    </xf>
    <xf numFmtId="0" fontId="18" fillId="0" borderId="0" xfId="0" applyFont="1" applyAlignment="1">
      <alignment horizontal="left" vertical="center" wrapText="1"/>
    </xf>
    <xf numFmtId="0" fontId="0" fillId="24" borderId="0" xfId="0" applyFill="1" applyAlignment="1">
      <alignment horizontal="left" vertical="center" wrapText="1"/>
    </xf>
    <xf numFmtId="0" fontId="18" fillId="0" borderId="0" xfId="63" applyProtection="1">
      <protection locked="0"/>
    </xf>
    <xf numFmtId="0" fontId="75" fillId="0" borderId="0" xfId="63" applyFont="1" applyAlignment="1" applyProtection="1">
      <alignment vertical="center" wrapText="1"/>
      <protection locked="0"/>
    </xf>
    <xf numFmtId="0" fontId="18" fillId="0" borderId="0" xfId="63" applyAlignment="1" applyProtection="1">
      <alignment vertical="center"/>
      <protection locked="0"/>
    </xf>
    <xf numFmtId="0" fontId="28" fillId="0" borderId="0" xfId="63" applyFont="1" applyAlignment="1" applyProtection="1">
      <alignment vertical="center"/>
      <protection locked="0"/>
    </xf>
    <xf numFmtId="178" fontId="28" fillId="0" borderId="0" xfId="75" applyFont="1" applyAlignment="1" applyProtection="1">
      <alignment vertical="center"/>
      <protection locked="0"/>
    </xf>
    <xf numFmtId="178" fontId="28" fillId="0" borderId="0" xfId="69" applyFont="1" applyAlignment="1" applyProtection="1">
      <alignment vertical="center"/>
      <protection locked="0"/>
    </xf>
    <xf numFmtId="178" fontId="85" fillId="0" borderId="0" xfId="75" applyFont="1" applyAlignment="1" applyProtection="1">
      <alignment vertical="center"/>
      <protection locked="0"/>
    </xf>
    <xf numFmtId="0" fontId="28" fillId="0" borderId="0" xfId="63" applyFont="1" applyProtection="1">
      <protection locked="0"/>
    </xf>
    <xf numFmtId="0" fontId="21" fillId="0" borderId="0" xfId="63" applyFont="1" applyProtection="1">
      <protection locked="0"/>
    </xf>
    <xf numFmtId="0" fontId="83" fillId="0" borderId="0" xfId="63" applyFont="1" applyProtection="1">
      <protection locked="0"/>
    </xf>
    <xf numFmtId="0" fontId="74" fillId="0" borderId="0" xfId="78" applyFont="1" applyAlignment="1">
      <alignment horizontal="center" vertical="center" wrapText="1"/>
    </xf>
    <xf numFmtId="0" fontId="74" fillId="0" borderId="0" xfId="78" applyFont="1" applyAlignment="1">
      <alignment vertical="center" wrapText="1"/>
    </xf>
    <xf numFmtId="0" fontId="67" fillId="0" borderId="15" xfId="78" applyFont="1" applyBorder="1" applyAlignment="1">
      <alignment horizontal="center" vertical="center" wrapText="1"/>
    </xf>
    <xf numFmtId="0" fontId="67" fillId="0" borderId="0" xfId="78" applyFont="1" applyAlignment="1">
      <alignment horizontal="center" vertical="center" wrapText="1"/>
    </xf>
    <xf numFmtId="0" fontId="74" fillId="0" borderId="15" xfId="78" applyFont="1" applyBorder="1" applyAlignment="1">
      <alignment horizontal="center" vertical="center" wrapText="1"/>
    </xf>
    <xf numFmtId="0" fontId="74" fillId="0" borderId="15" xfId="78" applyFont="1" applyBorder="1" applyAlignment="1">
      <alignment vertical="center" wrapText="1"/>
    </xf>
    <xf numFmtId="0" fontId="74" fillId="0" borderId="15" xfId="78" quotePrefix="1" applyFont="1" applyBorder="1" applyAlignment="1">
      <alignment horizontal="center" vertical="center" wrapText="1"/>
    </xf>
    <xf numFmtId="0" fontId="0" fillId="0" borderId="0" xfId="0" applyAlignment="1">
      <alignment horizontal="left"/>
    </xf>
    <xf numFmtId="0" fontId="0" fillId="0" borderId="0" xfId="0" applyAlignment="1">
      <alignment horizontal="left" vertical="center"/>
    </xf>
    <xf numFmtId="0" fontId="25" fillId="42" borderId="15" xfId="63" applyFont="1" applyFill="1" applyBorder="1" applyAlignment="1" applyProtection="1">
      <alignment horizontal="center" vertical="center" wrapText="1"/>
      <protection locked="0"/>
    </xf>
    <xf numFmtId="0" fontId="25" fillId="0" borderId="0" xfId="0" applyFont="1" applyAlignment="1">
      <alignment vertical="center"/>
    </xf>
    <xf numFmtId="0" fontId="21" fillId="0" borderId="0" xfId="63" applyFont="1" applyAlignment="1" applyProtection="1">
      <alignment horizontal="justify" vertical="center" wrapText="1"/>
      <protection locked="0"/>
    </xf>
    <xf numFmtId="0" fontId="18" fillId="0" borderId="0" xfId="63" applyAlignment="1" applyProtection="1">
      <alignment horizontal="justify" vertical="center"/>
      <protection locked="0"/>
    </xf>
    <xf numFmtId="49" fontId="18" fillId="0" borderId="0" xfId="0" applyNumberFormat="1" applyFont="1" applyAlignment="1">
      <alignment horizontal="center" vertical="center" wrapText="1"/>
    </xf>
    <xf numFmtId="0" fontId="25" fillId="0" borderId="0" xfId="0" applyFont="1" applyAlignment="1">
      <alignment horizontal="left" vertical="center" wrapText="1"/>
    </xf>
    <xf numFmtId="0" fontId="0" fillId="29" borderId="0" xfId="0" applyFill="1" applyAlignment="1">
      <alignment horizontal="right" vertical="center" wrapText="1"/>
    </xf>
    <xf numFmtId="187" fontId="18" fillId="0" borderId="0" xfId="0" applyNumberFormat="1" applyFont="1" applyAlignment="1">
      <alignment horizontal="center" vertical="center"/>
    </xf>
    <xf numFmtId="0" fontId="18" fillId="0" borderId="0" xfId="0" applyFont="1" applyAlignment="1">
      <alignment horizontal="left"/>
    </xf>
    <xf numFmtId="0" fontId="25" fillId="44" borderId="15" xfId="0" applyFont="1" applyFill="1" applyBorder="1" applyAlignment="1">
      <alignment horizontal="center" vertical="center" wrapText="1"/>
    </xf>
    <xf numFmtId="0" fontId="0" fillId="27" borderId="15" xfId="0" applyFill="1" applyBorder="1" applyAlignment="1">
      <alignment horizontal="center" vertical="center" wrapText="1"/>
    </xf>
    <xf numFmtId="178" fontId="28" fillId="0" borderId="0" xfId="75" applyFont="1" applyProtection="1">
      <protection locked="0"/>
    </xf>
    <xf numFmtId="0" fontId="21" fillId="0" borderId="0" xfId="63" applyFont="1" applyAlignment="1" applyProtection="1">
      <alignment vertical="center" wrapText="1"/>
      <protection locked="0"/>
    </xf>
    <xf numFmtId="178" fontId="60" fillId="0" borderId="0" xfId="61" applyFont="1" applyAlignment="1" applyProtection="1">
      <alignment vertical="center"/>
      <protection locked="0"/>
    </xf>
    <xf numFmtId="0" fontId="18" fillId="0" borderId="0" xfId="0" applyFont="1" applyAlignment="1" applyProtection="1">
      <alignment horizontal="center" vertical="center"/>
      <protection locked="0"/>
    </xf>
    <xf numFmtId="0" fontId="25" fillId="0" borderId="15" xfId="0" applyFont="1" applyBorder="1" applyAlignment="1" applyProtection="1">
      <alignment horizontal="center" vertical="center"/>
      <protection locked="0"/>
    </xf>
    <xf numFmtId="167" fontId="18" fillId="0" borderId="15" xfId="0" applyNumberFormat="1" applyFont="1" applyBorder="1" applyAlignment="1" applyProtection="1">
      <alignment horizontal="center" vertical="center"/>
      <protection locked="0"/>
    </xf>
    <xf numFmtId="0" fontId="18" fillId="0" borderId="15" xfId="0" applyFont="1" applyBorder="1" applyAlignment="1" applyProtection="1">
      <alignment horizontal="center" vertical="center"/>
      <protection locked="0"/>
    </xf>
    <xf numFmtId="0" fontId="18" fillId="0" borderId="19" xfId="0" applyFont="1" applyBorder="1" applyAlignment="1" applyProtection="1">
      <alignment horizontal="center" vertical="center"/>
      <protection locked="0"/>
    </xf>
    <xf numFmtId="167" fontId="23" fillId="0" borderId="15" xfId="0" applyNumberFormat="1" applyFont="1" applyBorder="1" applyAlignment="1" applyProtection="1">
      <alignment horizontal="center" vertical="center" wrapText="1"/>
      <protection locked="0"/>
    </xf>
    <xf numFmtId="0" fontId="105" fillId="0" borderId="0" xfId="80" applyFont="1" applyAlignment="1" applyProtection="1">
      <alignment horizontal="center" vertical="center"/>
      <protection locked="0"/>
    </xf>
    <xf numFmtId="0" fontId="101" fillId="0" borderId="0" xfId="80" applyFont="1" applyAlignment="1" applyProtection="1">
      <alignment horizontal="center" vertical="center" wrapText="1"/>
      <protection locked="0"/>
    </xf>
    <xf numFmtId="178" fontId="26" fillId="0" borderId="0" xfId="61" applyFont="1" applyAlignment="1" applyProtection="1">
      <alignment horizontal="center" vertical="center" wrapText="1"/>
      <protection locked="0"/>
    </xf>
    <xf numFmtId="0" fontId="18" fillId="0" borderId="0" xfId="63" applyAlignment="1" applyProtection="1">
      <alignment horizontal="center" vertical="center"/>
      <protection locked="0"/>
    </xf>
    <xf numFmtId="0" fontId="18" fillId="0" borderId="0" xfId="63" applyAlignment="1" applyProtection="1">
      <alignment horizontal="center" vertical="center" wrapText="1"/>
      <protection locked="0"/>
    </xf>
    <xf numFmtId="0" fontId="89" fillId="0" borderId="0" xfId="80" applyFont="1" applyProtection="1">
      <protection locked="0"/>
    </xf>
    <xf numFmtId="0" fontId="102" fillId="0" borderId="0" xfId="80" applyFont="1" applyAlignment="1" applyProtection="1">
      <alignment horizontal="center" vertical="center" wrapText="1"/>
      <protection locked="0"/>
    </xf>
    <xf numFmtId="0" fontId="100" fillId="0" borderId="0" xfId="63" applyFont="1" applyAlignment="1" applyProtection="1">
      <alignment horizontal="center" vertical="center"/>
      <protection locked="0"/>
    </xf>
    <xf numFmtId="0" fontId="107" fillId="0" borderId="0" xfId="80" applyFont="1" applyAlignment="1" applyProtection="1">
      <alignment horizontal="center" vertical="center"/>
      <protection locked="0"/>
    </xf>
    <xf numFmtId="167" fontId="61" fillId="0" borderId="15" xfId="80" applyNumberFormat="1" applyFont="1" applyBorder="1" applyAlignment="1" applyProtection="1">
      <alignment horizontal="center" vertical="center"/>
      <protection locked="0"/>
    </xf>
    <xf numFmtId="167" fontId="61" fillId="0" borderId="51" xfId="80" applyNumberFormat="1" applyFont="1" applyBorder="1" applyAlignment="1" applyProtection="1">
      <alignment horizontal="center" vertical="center"/>
      <protection locked="0"/>
    </xf>
    <xf numFmtId="0" fontId="18" fillId="0" borderId="0" xfId="80" applyFont="1" applyAlignment="1" applyProtection="1">
      <alignment horizontal="center"/>
      <protection locked="0"/>
    </xf>
    <xf numFmtId="167" fontId="26" fillId="0" borderId="0" xfId="65" applyNumberFormat="1" applyFont="1" applyAlignment="1" applyProtection="1">
      <alignment horizontal="center" vertical="center" textRotation="90" wrapText="1"/>
      <protection locked="0"/>
    </xf>
    <xf numFmtId="0" fontId="79" fillId="0" borderId="0" xfId="80" applyFont="1" applyProtection="1">
      <protection locked="0"/>
    </xf>
    <xf numFmtId="0" fontId="25" fillId="0" borderId="15" xfId="0" applyFont="1" applyBorder="1" applyAlignment="1" applyProtection="1">
      <alignment horizontal="center" vertical="center" wrapText="1"/>
      <protection locked="0"/>
    </xf>
    <xf numFmtId="167" fontId="26" fillId="0" borderId="0" xfId="80" applyNumberFormat="1" applyFont="1" applyAlignment="1" applyProtection="1">
      <alignment horizontal="center" vertical="center" wrapText="1"/>
      <protection locked="0"/>
    </xf>
    <xf numFmtId="167" fontId="18" fillId="0" borderId="0" xfId="0" applyNumberFormat="1" applyFont="1" applyAlignment="1" applyProtection="1">
      <alignment horizontal="center" vertical="center"/>
      <protection locked="0"/>
    </xf>
    <xf numFmtId="0" fontId="18" fillId="0" borderId="0" xfId="0" applyFont="1" applyAlignment="1" applyProtection="1">
      <alignment horizontal="center" vertical="center" wrapText="1"/>
      <protection locked="0"/>
    </xf>
    <xf numFmtId="167" fontId="26" fillId="0" borderId="0" xfId="0" applyNumberFormat="1" applyFont="1" applyAlignment="1" applyProtection="1">
      <alignment horizontal="center" vertical="center"/>
      <protection locked="0"/>
    </xf>
    <xf numFmtId="0" fontId="79" fillId="0" borderId="0" xfId="80" applyFont="1" applyAlignment="1" applyProtection="1">
      <alignment horizontal="center" vertical="center"/>
      <protection locked="0"/>
    </xf>
    <xf numFmtId="189" fontId="79" fillId="0" borderId="0" xfId="80" applyNumberFormat="1" applyFont="1" applyAlignment="1" applyProtection="1">
      <alignment horizontal="center" vertical="center" wrapText="1"/>
      <protection locked="0"/>
    </xf>
    <xf numFmtId="167" fontId="26" fillId="0" borderId="0" xfId="0" applyNumberFormat="1" applyFont="1" applyAlignment="1" applyProtection="1">
      <alignment horizontal="center" vertical="center" wrapText="1"/>
      <protection locked="0"/>
    </xf>
    <xf numFmtId="0" fontId="18" fillId="0" borderId="0" xfId="65" applyAlignment="1" applyProtection="1">
      <alignment horizontal="center" vertical="center"/>
      <protection locked="0"/>
    </xf>
    <xf numFmtId="0" fontId="18" fillId="0" borderId="0" xfId="65" applyAlignment="1" applyProtection="1">
      <alignment horizontal="center" vertical="center" wrapText="1"/>
      <protection locked="0"/>
    </xf>
    <xf numFmtId="167" fontId="60" fillId="0" borderId="15" xfId="80" applyNumberFormat="1" applyFont="1" applyBorder="1" applyAlignment="1" applyProtection="1">
      <alignment horizontal="center" vertical="center"/>
      <protection locked="0"/>
    </xf>
    <xf numFmtId="167" fontId="23" fillId="0" borderId="0" xfId="0" applyNumberFormat="1" applyFont="1" applyAlignment="1" applyProtection="1">
      <alignment horizontal="center" vertical="center" wrapText="1"/>
      <protection locked="0"/>
    </xf>
    <xf numFmtId="0" fontId="102" fillId="0" borderId="0" xfId="80" applyFont="1" applyAlignment="1" applyProtection="1">
      <alignment horizontal="center" vertical="center"/>
      <protection locked="0"/>
    </xf>
    <xf numFmtId="0" fontId="89" fillId="0" borderId="0" xfId="80" applyFont="1" applyAlignment="1" applyProtection="1">
      <alignment vertical="center" wrapText="1"/>
      <protection locked="0"/>
    </xf>
    <xf numFmtId="0" fontId="105" fillId="0" borderId="0" xfId="80" applyFont="1" applyAlignment="1" applyProtection="1">
      <alignment horizontal="center" vertical="center" wrapText="1"/>
      <protection locked="0"/>
    </xf>
    <xf numFmtId="1" fontId="18" fillId="0" borderId="0" xfId="80" applyNumberFormat="1" applyFont="1" applyAlignment="1" applyProtection="1">
      <alignment horizontal="center" vertical="center"/>
      <protection locked="0"/>
    </xf>
    <xf numFmtId="167" fontId="69" fillId="0" borderId="0" xfId="80" applyNumberFormat="1" applyFont="1" applyAlignment="1" applyProtection="1">
      <alignment horizontal="left" vertical="center"/>
      <protection locked="0"/>
    </xf>
    <xf numFmtId="10" fontId="69" fillId="0" borderId="0" xfId="80" applyNumberFormat="1" applyFont="1" applyAlignment="1" applyProtection="1">
      <alignment horizontal="center" vertical="center"/>
      <protection locked="0"/>
    </xf>
    <xf numFmtId="49" fontId="101" fillId="0" borderId="0" xfId="0" applyNumberFormat="1" applyFont="1" applyAlignment="1" applyProtection="1">
      <alignment horizontal="center" vertical="center" wrapText="1"/>
      <protection locked="0"/>
    </xf>
    <xf numFmtId="0" fontId="89" fillId="0" borderId="0" xfId="0" applyFont="1" applyAlignment="1" applyProtection="1">
      <alignment horizontal="center" vertical="center"/>
      <protection locked="0"/>
    </xf>
    <xf numFmtId="0" fontId="112" fillId="0" borderId="0" xfId="0" applyFont="1" applyAlignment="1" applyProtection="1">
      <alignment horizontal="center" vertical="center"/>
      <protection locked="0"/>
    </xf>
    <xf numFmtId="0" fontId="113" fillId="0" borderId="0" xfId="0" applyFont="1" applyAlignment="1" applyProtection="1">
      <alignment horizontal="center" vertical="center"/>
      <protection locked="0"/>
    </xf>
    <xf numFmtId="0" fontId="89" fillId="0" borderId="0" xfId="80" applyFont="1" applyAlignment="1" applyProtection="1">
      <alignment horizontal="center" vertical="center"/>
      <protection locked="0"/>
    </xf>
    <xf numFmtId="0" fontId="18" fillId="0" borderId="15" xfId="63" applyBorder="1" applyAlignment="1" applyProtection="1">
      <alignment horizontal="center" vertical="center"/>
      <protection locked="0"/>
    </xf>
    <xf numFmtId="0" fontId="89" fillId="0" borderId="21" xfId="0" applyFont="1" applyBorder="1" applyAlignment="1" applyProtection="1">
      <alignment horizontal="center" vertical="center"/>
      <protection locked="0"/>
    </xf>
    <xf numFmtId="0" fontId="89" fillId="0" borderId="15" xfId="0" applyFont="1" applyBorder="1" applyAlignment="1" applyProtection="1">
      <alignment horizontal="center" vertical="center"/>
      <protection locked="0"/>
    </xf>
    <xf numFmtId="179" fontId="67" fillId="40" borderId="15" xfId="63" applyNumberFormat="1" applyFont="1" applyFill="1" applyBorder="1" applyAlignment="1" applyProtection="1">
      <alignment horizontal="center" vertical="center" wrapText="1"/>
      <protection locked="0"/>
    </xf>
    <xf numFmtId="0" fontId="79" fillId="0" borderId="15" xfId="0" applyFont="1" applyBorder="1" applyAlignment="1" applyProtection="1">
      <alignment horizontal="center" vertical="center"/>
      <protection locked="0"/>
    </xf>
    <xf numFmtId="0" fontId="89" fillId="0" borderId="47" xfId="0" applyFont="1" applyBorder="1" applyAlignment="1" applyProtection="1">
      <alignment horizontal="center" vertical="center"/>
      <protection locked="0"/>
    </xf>
    <xf numFmtId="0" fontId="81" fillId="0" borderId="0" xfId="80" applyFont="1" applyAlignment="1" applyProtection="1">
      <alignment horizontal="center" vertical="center" wrapText="1"/>
      <protection locked="0"/>
    </xf>
    <xf numFmtId="179" fontId="28" fillId="0" borderId="15" xfId="63" applyNumberFormat="1" applyFont="1" applyBorder="1" applyAlignment="1" applyProtection="1">
      <alignment horizontal="center" vertical="center"/>
      <protection locked="0"/>
    </xf>
    <xf numFmtId="0" fontId="89" fillId="0" borderId="15" xfId="80" applyFont="1" applyBorder="1" applyAlignment="1" applyProtection="1">
      <alignment horizontal="center" vertical="center"/>
      <protection locked="0"/>
    </xf>
    <xf numFmtId="11" fontId="89" fillId="0" borderId="15" xfId="0" applyNumberFormat="1" applyFont="1" applyBorder="1" applyAlignment="1" applyProtection="1">
      <alignment horizontal="center" vertical="center"/>
      <protection locked="0"/>
    </xf>
    <xf numFmtId="0" fontId="89" fillId="0" borderId="19" xfId="0" applyFont="1" applyBorder="1" applyAlignment="1" applyProtection="1">
      <alignment horizontal="center" vertical="center"/>
      <protection locked="0"/>
    </xf>
    <xf numFmtId="179" fontId="18" fillId="0" borderId="0" xfId="63" applyNumberFormat="1" applyAlignment="1" applyProtection="1">
      <alignment horizontal="center" vertical="center" wrapText="1"/>
      <protection locked="0"/>
    </xf>
    <xf numFmtId="9" fontId="86" fillId="0" borderId="15" xfId="61" applyNumberFormat="1" applyFont="1" applyBorder="1" applyAlignment="1" applyProtection="1">
      <alignment horizontal="center" vertical="center"/>
      <protection locked="0"/>
    </xf>
    <xf numFmtId="178" fontId="109" fillId="0" borderId="0" xfId="61" applyFont="1" applyAlignment="1" applyProtection="1">
      <alignment horizontal="center" vertical="center"/>
      <protection locked="0"/>
    </xf>
    <xf numFmtId="178" fontId="70" fillId="0" borderId="0" xfId="61" applyFont="1" applyAlignment="1" applyProtection="1">
      <alignment horizontal="center" vertical="center" textRotation="255"/>
      <protection locked="0"/>
    </xf>
    <xf numFmtId="178" fontId="26" fillId="0" borderId="0" xfId="61" applyFont="1" applyAlignment="1" applyProtection="1">
      <alignment horizontal="center" vertical="center" textRotation="255"/>
      <protection locked="0"/>
    </xf>
    <xf numFmtId="178" fontId="71" fillId="0" borderId="0" xfId="61" applyFont="1" applyProtection="1">
      <protection locked="0"/>
    </xf>
    <xf numFmtId="179" fontId="28" fillId="0" borderId="0" xfId="63" applyNumberFormat="1" applyFont="1" applyAlignment="1" applyProtection="1">
      <alignment horizontal="left" vertical="center"/>
      <protection locked="0"/>
    </xf>
    <xf numFmtId="179" fontId="28" fillId="0" borderId="0" xfId="63" applyNumberFormat="1" applyFont="1" applyAlignment="1" applyProtection="1">
      <alignment horizontal="center" vertical="center"/>
      <protection locked="0"/>
    </xf>
    <xf numFmtId="178" fontId="121" fillId="0" borderId="0" xfId="61" applyFont="1" applyAlignment="1" applyProtection="1">
      <alignment horizontal="center" vertical="center"/>
      <protection locked="0"/>
    </xf>
    <xf numFmtId="0" fontId="122" fillId="0" borderId="0" xfId="80" applyFont="1" applyAlignment="1" applyProtection="1">
      <alignment horizontal="center" vertical="center"/>
      <protection locked="0"/>
    </xf>
    <xf numFmtId="0" fontId="28" fillId="0" borderId="15" xfId="63" applyFont="1" applyBorder="1" applyAlignment="1" applyProtection="1">
      <alignment horizontal="center" vertical="center"/>
      <protection locked="0"/>
    </xf>
    <xf numFmtId="167" fontId="25" fillId="0" borderId="21" xfId="80" applyNumberFormat="1" applyFont="1" applyBorder="1" applyAlignment="1" applyProtection="1">
      <alignment horizontal="center" vertical="center" wrapText="1"/>
      <protection locked="0"/>
    </xf>
    <xf numFmtId="167" fontId="26" fillId="0" borderId="48" xfId="80" applyNumberFormat="1" applyFont="1" applyBorder="1" applyAlignment="1" applyProtection="1">
      <alignment horizontal="center" vertical="center" wrapText="1"/>
      <protection locked="0"/>
    </xf>
    <xf numFmtId="0" fontId="103" fillId="0" borderId="21" xfId="80" applyFont="1" applyBorder="1" applyAlignment="1" applyProtection="1">
      <alignment horizontal="center" vertical="center"/>
      <protection locked="0"/>
    </xf>
    <xf numFmtId="1" fontId="86" fillId="0" borderId="15" xfId="61" applyNumberFormat="1" applyFont="1" applyBorder="1" applyAlignment="1" applyProtection="1">
      <alignment horizontal="center" vertical="center"/>
      <protection locked="0"/>
    </xf>
    <xf numFmtId="167" fontId="88" fillId="0" borderId="15" xfId="80" applyNumberFormat="1" applyFont="1" applyBorder="1" applyAlignment="1" applyProtection="1">
      <alignment horizontal="center" vertical="center"/>
      <protection locked="0"/>
    </xf>
    <xf numFmtId="0" fontId="89" fillId="0" borderId="0" xfId="80" applyFont="1" applyAlignment="1" applyProtection="1">
      <alignment horizontal="center" vertical="center" wrapText="1"/>
      <protection locked="0"/>
    </xf>
    <xf numFmtId="0" fontId="89" fillId="0" borderId="0" xfId="0" applyFont="1" applyAlignment="1" applyProtection="1">
      <alignment horizontal="center" vertical="center" wrapText="1"/>
      <protection locked="0"/>
    </xf>
    <xf numFmtId="0" fontId="90" fillId="0" borderId="0" xfId="0" applyFont="1" applyAlignment="1" applyProtection="1">
      <alignment horizontal="center" vertical="center" wrapText="1"/>
      <protection locked="0"/>
    </xf>
    <xf numFmtId="0" fontId="18" fillId="0" borderId="0" xfId="80" applyFont="1" applyProtection="1">
      <protection locked="0"/>
    </xf>
    <xf numFmtId="0" fontId="0" fillId="0" borderId="21" xfId="0" applyBorder="1" applyAlignment="1" applyProtection="1">
      <alignment horizontal="center" vertical="center"/>
      <protection locked="0"/>
    </xf>
    <xf numFmtId="0" fontId="18" fillId="0" borderId="21" xfId="0" applyFont="1" applyBorder="1" applyAlignment="1" applyProtection="1">
      <alignment horizontal="center" vertical="center"/>
      <protection locked="0"/>
    </xf>
    <xf numFmtId="0" fontId="18" fillId="0" borderId="21" xfId="63" applyBorder="1" applyAlignment="1" applyProtection="1">
      <alignment horizontal="center" vertical="center"/>
      <protection locked="0"/>
    </xf>
    <xf numFmtId="0" fontId="122" fillId="0" borderId="0" xfId="0" applyFont="1" applyAlignment="1" applyProtection="1">
      <alignment horizontal="center" vertical="center"/>
      <protection locked="0"/>
    </xf>
    <xf numFmtId="0" fontId="123" fillId="0" borderId="0" xfId="80" applyFont="1" applyAlignment="1" applyProtection="1">
      <alignment horizontal="center" vertical="center"/>
      <protection locked="0"/>
    </xf>
    <xf numFmtId="0" fontId="18" fillId="0" borderId="19" xfId="0" applyFont="1" applyBorder="1" applyAlignment="1" applyProtection="1">
      <alignment horizontal="center" vertical="center" wrapText="1"/>
      <protection locked="0"/>
    </xf>
    <xf numFmtId="0" fontId="18" fillId="0" borderId="19" xfId="65" applyBorder="1" applyAlignment="1" applyProtection="1">
      <alignment horizontal="center" vertical="center" wrapText="1"/>
      <protection locked="0"/>
    </xf>
    <xf numFmtId="1" fontId="79" fillId="0" borderId="49" xfId="0" applyNumberFormat="1" applyFont="1" applyBorder="1" applyAlignment="1" applyProtection="1">
      <alignment horizontal="center" vertical="center" wrapText="1"/>
      <protection locked="0"/>
    </xf>
    <xf numFmtId="0" fontId="89" fillId="0" borderId="37" xfId="80" applyFont="1" applyBorder="1" applyAlignment="1" applyProtection="1">
      <alignment horizontal="center" vertical="center"/>
      <protection locked="0"/>
    </xf>
    <xf numFmtId="0" fontId="79" fillId="0" borderId="19" xfId="0" applyFont="1" applyBorder="1" applyAlignment="1" applyProtection="1">
      <alignment horizontal="center" vertical="center" wrapText="1"/>
      <protection locked="0"/>
    </xf>
    <xf numFmtId="0" fontId="79" fillId="0" borderId="37" xfId="80" applyFont="1" applyBorder="1" applyAlignment="1" applyProtection="1">
      <alignment horizontal="center" vertical="center"/>
      <protection locked="0"/>
    </xf>
    <xf numFmtId="2" fontId="79" fillId="0" borderId="19" xfId="0" applyNumberFormat="1" applyFont="1" applyBorder="1" applyAlignment="1" applyProtection="1">
      <alignment horizontal="center" vertical="center" wrapText="1"/>
      <protection locked="0"/>
    </xf>
    <xf numFmtId="173" fontId="79" fillId="0" borderId="19" xfId="0" applyNumberFormat="1" applyFont="1" applyBorder="1" applyAlignment="1" applyProtection="1">
      <alignment horizontal="center" vertical="center" wrapText="1"/>
      <protection locked="0"/>
    </xf>
    <xf numFmtId="10" fontId="18" fillId="0" borderId="19" xfId="0" applyNumberFormat="1" applyFont="1" applyBorder="1" applyAlignment="1" applyProtection="1">
      <alignment horizontal="center" vertical="center" wrapText="1"/>
      <protection locked="0"/>
    </xf>
    <xf numFmtId="167" fontId="18" fillId="0" borderId="19" xfId="0" applyNumberFormat="1" applyFont="1" applyBorder="1" applyAlignment="1" applyProtection="1">
      <alignment horizontal="center" vertical="center"/>
      <protection locked="0"/>
    </xf>
    <xf numFmtId="2" fontId="18" fillId="0" borderId="19" xfId="0" applyNumberFormat="1" applyFont="1" applyBorder="1" applyAlignment="1" applyProtection="1">
      <alignment horizontal="center" vertical="center" wrapText="1"/>
      <protection locked="0"/>
    </xf>
    <xf numFmtId="0" fontId="79" fillId="0" borderId="19" xfId="80" applyFont="1" applyBorder="1" applyAlignment="1" applyProtection="1">
      <alignment horizontal="center" vertical="center" wrapText="1"/>
      <protection locked="0"/>
    </xf>
    <xf numFmtId="189" fontId="79" fillId="0" borderId="0" xfId="0" applyNumberFormat="1" applyFont="1" applyAlignment="1" applyProtection="1">
      <alignment horizontal="center" vertical="center" wrapText="1"/>
      <protection locked="0"/>
    </xf>
    <xf numFmtId="42" fontId="79" fillId="0" borderId="19" xfId="81" applyFont="1" applyFill="1" applyBorder="1" applyAlignment="1" applyProtection="1">
      <alignment horizontal="center" vertical="center" wrapText="1"/>
      <protection locked="0"/>
    </xf>
    <xf numFmtId="167" fontId="79" fillId="0" borderId="19" xfId="81" applyNumberFormat="1" applyFont="1" applyFill="1" applyBorder="1" applyAlignment="1" applyProtection="1">
      <alignment horizontal="center" vertical="center" wrapText="1"/>
      <protection locked="0"/>
    </xf>
    <xf numFmtId="1" fontId="18" fillId="0" borderId="19" xfId="0" applyNumberFormat="1" applyFont="1" applyBorder="1" applyAlignment="1" applyProtection="1">
      <alignment horizontal="center" vertical="center" wrapText="1"/>
      <protection locked="0"/>
    </xf>
    <xf numFmtId="0" fontId="89" fillId="0" borderId="15" xfId="80" applyFont="1" applyBorder="1" applyAlignment="1" applyProtection="1">
      <alignment horizontal="center" vertical="center" wrapText="1"/>
      <protection locked="0"/>
    </xf>
    <xf numFmtId="2" fontId="89" fillId="0" borderId="15" xfId="0" applyNumberFormat="1" applyFont="1" applyBorder="1" applyAlignment="1" applyProtection="1">
      <alignment horizontal="center" vertical="center" wrapText="1"/>
      <protection locked="0"/>
    </xf>
    <xf numFmtId="172" fontId="89" fillId="0" borderId="15" xfId="0" applyNumberFormat="1" applyFont="1" applyBorder="1" applyAlignment="1" applyProtection="1">
      <alignment horizontal="center" vertical="center" wrapText="1"/>
      <protection locked="0"/>
    </xf>
    <xf numFmtId="2" fontId="28" fillId="0" borderId="15" xfId="0" applyNumberFormat="1" applyFont="1" applyBorder="1" applyAlignment="1" applyProtection="1">
      <alignment horizontal="center" vertical="center" wrapText="1"/>
      <protection locked="0"/>
    </xf>
    <xf numFmtId="0" fontId="89" fillId="0" borderId="15" xfId="0" applyFont="1" applyBorder="1" applyAlignment="1" applyProtection="1">
      <alignment horizontal="center" vertical="center" wrapText="1"/>
      <protection locked="0"/>
    </xf>
    <xf numFmtId="166" fontId="89" fillId="0" borderId="15" xfId="0" applyNumberFormat="1" applyFont="1" applyBorder="1" applyAlignment="1" applyProtection="1">
      <alignment horizontal="center" vertical="center" wrapText="1"/>
      <protection locked="0"/>
    </xf>
    <xf numFmtId="194" fontId="89" fillId="0" borderId="15" xfId="0" applyNumberFormat="1" applyFont="1" applyBorder="1" applyAlignment="1" applyProtection="1">
      <alignment horizontal="center" vertical="center" wrapText="1"/>
      <protection locked="0"/>
    </xf>
    <xf numFmtId="1" fontId="89" fillId="0" borderId="15" xfId="80" applyNumberFormat="1" applyFont="1" applyBorder="1" applyAlignment="1" applyProtection="1">
      <alignment horizontal="center" vertical="center" wrapText="1"/>
      <protection locked="0"/>
    </xf>
    <xf numFmtId="0" fontId="28" fillId="0" borderId="15" xfId="0" applyFont="1" applyBorder="1" applyAlignment="1" applyProtection="1">
      <alignment horizontal="center" vertical="center" wrapText="1"/>
      <protection locked="0"/>
    </xf>
    <xf numFmtId="0" fontId="89" fillId="0" borderId="15" xfId="84" applyNumberFormat="1" applyFont="1" applyFill="1" applyBorder="1" applyAlignment="1" applyProtection="1">
      <alignment horizontal="center" vertical="center" wrapText="1"/>
      <protection locked="0"/>
    </xf>
    <xf numFmtId="194" fontId="28" fillId="0" borderId="15" xfId="0" applyNumberFormat="1" applyFont="1" applyBorder="1" applyAlignment="1" applyProtection="1">
      <alignment horizontal="center" vertical="center" wrapText="1"/>
      <protection locked="0"/>
    </xf>
    <xf numFmtId="42" fontId="28" fillId="0" borderId="15" xfId="84" applyFont="1" applyFill="1" applyBorder="1" applyAlignment="1" applyProtection="1">
      <alignment horizontal="center" vertical="center" wrapText="1"/>
      <protection locked="0"/>
    </xf>
    <xf numFmtId="167" fontId="123" fillId="0" borderId="0" xfId="0" applyNumberFormat="1" applyFont="1" applyAlignment="1" applyProtection="1">
      <alignment horizontal="center" vertical="center" wrapText="1"/>
      <protection locked="0"/>
    </xf>
    <xf numFmtId="0" fontId="123" fillId="0" borderId="0" xfId="80" applyFont="1" applyAlignment="1" applyProtection="1">
      <alignment horizontal="center" vertical="center" wrapText="1"/>
      <protection locked="0"/>
    </xf>
    <xf numFmtId="166" fontId="89" fillId="0" borderId="0" xfId="0" applyNumberFormat="1" applyFont="1" applyAlignment="1" applyProtection="1">
      <alignment horizontal="center" vertical="center" wrapText="1"/>
      <protection locked="0"/>
    </xf>
    <xf numFmtId="194" fontId="89" fillId="0" borderId="0" xfId="0" applyNumberFormat="1" applyFont="1" applyAlignment="1" applyProtection="1">
      <alignment horizontal="center" vertical="center" wrapText="1"/>
      <protection locked="0"/>
    </xf>
    <xf numFmtId="0" fontId="28" fillId="0" borderId="0" xfId="0" applyFont="1" applyAlignment="1" applyProtection="1">
      <alignment horizontal="center" vertical="center" wrapText="1"/>
      <protection locked="0"/>
    </xf>
    <xf numFmtId="0" fontId="89" fillId="0" borderId="0" xfId="84" applyNumberFormat="1" applyFont="1" applyFill="1" applyAlignment="1" applyProtection="1">
      <alignment horizontal="center" vertical="center" wrapText="1"/>
      <protection locked="0"/>
    </xf>
    <xf numFmtId="42" fontId="89" fillId="0" borderId="0" xfId="0" applyNumberFormat="1" applyFont="1" applyAlignment="1" applyProtection="1">
      <alignment horizontal="center" vertical="center" wrapText="1"/>
      <protection locked="0"/>
    </xf>
    <xf numFmtId="194" fontId="28" fillId="0" borderId="0" xfId="0" applyNumberFormat="1" applyFont="1" applyAlignment="1" applyProtection="1">
      <alignment horizontal="center" vertical="center" wrapText="1"/>
      <protection locked="0"/>
    </xf>
    <xf numFmtId="9" fontId="89" fillId="0" borderId="0" xfId="0" applyNumberFormat="1" applyFont="1" applyAlignment="1" applyProtection="1">
      <alignment horizontal="center" vertical="center" wrapText="1"/>
      <protection locked="0"/>
    </xf>
    <xf numFmtId="0" fontId="98" fillId="0" borderId="0" xfId="63" applyFont="1" applyAlignment="1" applyProtection="1">
      <alignment vertical="center" textRotation="90" wrapText="1"/>
      <protection locked="0"/>
    </xf>
    <xf numFmtId="0" fontId="89" fillId="0" borderId="0" xfId="0" applyFont="1" applyAlignment="1" applyProtection="1">
      <alignment horizontal="center" vertical="center" textRotation="90" wrapText="1"/>
      <protection locked="0"/>
    </xf>
    <xf numFmtId="0" fontId="79" fillId="0" borderId="0" xfId="0" applyFont="1" applyAlignment="1" applyProtection="1">
      <alignment horizontal="center" vertical="center"/>
      <protection locked="0"/>
    </xf>
    <xf numFmtId="191" fontId="123" fillId="0" borderId="0" xfId="0" applyNumberFormat="1" applyFont="1" applyAlignment="1" applyProtection="1">
      <alignment horizontal="center" vertical="center" wrapText="1"/>
      <protection locked="0"/>
    </xf>
    <xf numFmtId="42" fontId="123" fillId="0" borderId="0" xfId="84" applyFont="1" applyFill="1" applyAlignment="1" applyProtection="1">
      <alignment horizontal="center" vertical="center" wrapText="1"/>
      <protection locked="0"/>
    </xf>
    <xf numFmtId="42" fontId="28" fillId="0" borderId="0" xfId="84" applyFont="1" applyFill="1" applyAlignment="1" applyProtection="1">
      <alignment horizontal="center" vertical="center" wrapText="1"/>
      <protection locked="0"/>
    </xf>
    <xf numFmtId="0" fontId="123" fillId="0" borderId="0" xfId="0" applyFont="1" applyAlignment="1" applyProtection="1">
      <alignment horizontal="center" vertical="center" wrapText="1"/>
      <protection locked="0"/>
    </xf>
    <xf numFmtId="173" fontId="79" fillId="0" borderId="15" xfId="0" applyNumberFormat="1" applyFont="1" applyBorder="1" applyAlignment="1" applyProtection="1">
      <alignment horizontal="center" vertical="center" wrapText="1"/>
      <protection locked="0"/>
    </xf>
    <xf numFmtId="1" fontId="79" fillId="0" borderId="19" xfId="81" applyNumberFormat="1" applyFont="1" applyFill="1" applyBorder="1" applyAlignment="1" applyProtection="1">
      <alignment horizontal="center" vertical="center" wrapText="1"/>
      <protection locked="0"/>
    </xf>
    <xf numFmtId="0" fontId="79" fillId="0" borderId="19" xfId="81" applyNumberFormat="1" applyFont="1" applyFill="1" applyBorder="1" applyAlignment="1" applyProtection="1">
      <alignment horizontal="center" vertical="center" wrapText="1"/>
      <protection locked="0"/>
    </xf>
    <xf numFmtId="0" fontId="18" fillId="0" borderId="15" xfId="65" applyBorder="1" applyAlignment="1" applyProtection="1">
      <alignment horizontal="center" vertical="center"/>
      <protection locked="0"/>
    </xf>
    <xf numFmtId="167" fontId="23" fillId="0" borderId="33" xfId="80" applyNumberFormat="1" applyFont="1" applyBorder="1" applyAlignment="1" applyProtection="1">
      <alignment horizontal="center" vertical="center" wrapText="1"/>
      <protection locked="0"/>
    </xf>
    <xf numFmtId="0" fontId="18" fillId="0" borderId="61" xfId="80" applyFont="1" applyBorder="1" applyAlignment="1" applyProtection="1">
      <alignment horizontal="center" vertical="center" wrapText="1" shrinkToFit="1"/>
      <protection locked="0"/>
    </xf>
    <xf numFmtId="0" fontId="18" fillId="0" borderId="61" xfId="65" applyBorder="1" applyAlignment="1" applyProtection="1">
      <alignment horizontal="center" vertical="center" wrapText="1" shrinkToFit="1"/>
      <protection locked="0"/>
    </xf>
    <xf numFmtId="0" fontId="79" fillId="0" borderId="61" xfId="80" applyFont="1" applyBorder="1" applyAlignment="1" applyProtection="1">
      <alignment vertical="center" wrapText="1"/>
      <protection locked="0"/>
    </xf>
    <xf numFmtId="0" fontId="79" fillId="0" borderId="61" xfId="80" applyFont="1" applyBorder="1" applyAlignment="1" applyProtection="1">
      <alignment horizontal="center" vertical="center" wrapText="1"/>
      <protection locked="0"/>
    </xf>
    <xf numFmtId="173" fontId="79" fillId="0" borderId="61" xfId="80" applyNumberFormat="1" applyFont="1" applyBorder="1" applyAlignment="1" applyProtection="1">
      <alignment horizontal="center" vertical="center" wrapText="1"/>
      <protection locked="0"/>
    </xf>
    <xf numFmtId="9" fontId="79" fillId="0" borderId="61" xfId="80" applyNumberFormat="1" applyFont="1" applyBorder="1" applyAlignment="1" applyProtection="1">
      <alignment horizontal="center" vertical="center" wrapText="1"/>
      <protection locked="0"/>
    </xf>
    <xf numFmtId="0" fontId="18" fillId="0" borderId="61" xfId="65" applyBorder="1" applyAlignment="1" applyProtection="1">
      <alignment horizontal="center" vertical="center" wrapText="1"/>
      <protection locked="0"/>
    </xf>
    <xf numFmtId="2" fontId="79" fillId="0" borderId="61" xfId="80" applyNumberFormat="1" applyFont="1" applyBorder="1" applyAlignment="1" applyProtection="1">
      <alignment horizontal="left" vertical="center"/>
      <protection locked="0"/>
    </xf>
    <xf numFmtId="2" fontId="79" fillId="0" borderId="0" xfId="80" applyNumberFormat="1" applyFont="1" applyAlignment="1" applyProtection="1">
      <alignment horizontal="center" vertical="center" wrapText="1"/>
      <protection locked="0"/>
    </xf>
    <xf numFmtId="173" fontId="89" fillId="0" borderId="0" xfId="0" applyNumberFormat="1" applyFont="1" applyAlignment="1" applyProtection="1">
      <alignment horizontal="center" vertical="center" wrapText="1"/>
      <protection locked="0"/>
    </xf>
    <xf numFmtId="0" fontId="116" fillId="0" borderId="0" xfId="0" applyFont="1" applyAlignment="1" applyProtection="1">
      <alignment horizontal="center" vertical="center" wrapText="1"/>
      <protection locked="0"/>
    </xf>
    <xf numFmtId="42" fontId="89" fillId="0" borderId="0" xfId="84" applyFont="1" applyFill="1" applyAlignment="1" applyProtection="1">
      <alignment horizontal="center" vertical="center" wrapText="1"/>
      <protection locked="0"/>
    </xf>
    <xf numFmtId="191" fontId="89" fillId="0" borderId="0" xfId="0" applyNumberFormat="1" applyFont="1" applyAlignment="1" applyProtection="1">
      <alignment horizontal="center" vertical="center" wrapText="1"/>
      <protection locked="0"/>
    </xf>
    <xf numFmtId="42" fontId="112" fillId="0" borderId="0" xfId="84" applyFont="1" applyFill="1" applyAlignment="1" applyProtection="1">
      <alignment horizontal="center" vertical="center" wrapText="1"/>
      <protection locked="0"/>
    </xf>
    <xf numFmtId="2" fontId="81" fillId="0" borderId="21" xfId="80" applyNumberFormat="1" applyFont="1" applyBorder="1" applyAlignment="1" applyProtection="1">
      <alignment horizontal="center" vertical="center" wrapText="1"/>
      <protection locked="0"/>
    </xf>
    <xf numFmtId="0" fontId="123" fillId="0" borderId="15" xfId="0" applyFont="1" applyBorder="1" applyAlignment="1" applyProtection="1">
      <alignment horizontal="center" vertical="center"/>
      <protection locked="0"/>
    </xf>
    <xf numFmtId="42" fontId="26" fillId="0" borderId="15" xfId="82" applyFont="1" applyFill="1" applyBorder="1" applyAlignment="1" applyProtection="1">
      <alignment horizontal="center" vertical="center" wrapText="1"/>
      <protection locked="0"/>
    </xf>
    <xf numFmtId="42" fontId="123" fillId="0" borderId="15" xfId="84" applyFont="1" applyFill="1" applyBorder="1" applyAlignment="1" applyProtection="1">
      <alignment horizontal="center" vertical="center" wrapText="1"/>
      <protection locked="0"/>
    </xf>
    <xf numFmtId="0" fontId="81" fillId="0" borderId="0" xfId="80" applyFont="1" applyAlignment="1" applyProtection="1">
      <alignment horizontal="center" vertical="center"/>
      <protection locked="0"/>
    </xf>
    <xf numFmtId="0" fontId="79" fillId="0" borderId="0" xfId="80" applyFont="1" applyAlignment="1" applyProtection="1">
      <alignment vertical="center" wrapText="1"/>
      <protection locked="0"/>
    </xf>
    <xf numFmtId="0" fontId="79" fillId="0" borderId="0" xfId="80" applyFont="1" applyAlignment="1" applyProtection="1">
      <alignment horizontal="center" vertical="center" wrapText="1"/>
      <protection locked="0"/>
    </xf>
    <xf numFmtId="0" fontId="79" fillId="0" borderId="0" xfId="80" applyFont="1" applyAlignment="1" applyProtection="1">
      <alignment horizontal="left" vertical="center"/>
      <protection locked="0"/>
    </xf>
    <xf numFmtId="0" fontId="79" fillId="0" borderId="0" xfId="80" applyFont="1" applyAlignment="1" applyProtection="1">
      <alignment horizontal="left" vertical="center" wrapText="1"/>
      <protection locked="0"/>
    </xf>
    <xf numFmtId="0" fontId="79" fillId="0" borderId="0" xfId="80" applyFont="1" applyAlignment="1" applyProtection="1">
      <alignment horizontal="center"/>
      <protection locked="0"/>
    </xf>
    <xf numFmtId="0" fontId="89" fillId="0" borderId="0" xfId="80" applyFont="1" applyAlignment="1" applyProtection="1">
      <alignment horizontal="center"/>
      <protection locked="0"/>
    </xf>
    <xf numFmtId="178" fontId="60" fillId="0" borderId="0" xfId="61" applyFont="1" applyAlignment="1" applyProtection="1">
      <alignment horizontal="center" vertical="center"/>
      <protection locked="0"/>
    </xf>
    <xf numFmtId="0" fontId="113" fillId="0" borderId="0" xfId="0" applyFont="1" applyAlignment="1" applyProtection="1">
      <alignment horizontal="center" vertical="center" wrapText="1"/>
      <protection locked="0"/>
    </xf>
    <xf numFmtId="42" fontId="113" fillId="0" borderId="0" xfId="0" applyNumberFormat="1" applyFont="1" applyAlignment="1" applyProtection="1">
      <alignment horizontal="center" vertical="center"/>
      <protection locked="0"/>
    </xf>
    <xf numFmtId="42" fontId="28" fillId="0" borderId="0" xfId="0" applyNumberFormat="1" applyFont="1" applyAlignment="1" applyProtection="1">
      <alignment horizontal="center" vertical="center"/>
      <protection locked="0"/>
    </xf>
    <xf numFmtId="0" fontId="115" fillId="0" borderId="0" xfId="0" applyFont="1" applyAlignment="1" applyProtection="1">
      <alignment horizontal="center" vertical="center"/>
      <protection locked="0"/>
    </xf>
    <xf numFmtId="178" fontId="117" fillId="0" borderId="0" xfId="61" applyFont="1" applyAlignment="1" applyProtection="1">
      <alignment horizontal="center" vertical="center"/>
      <protection locked="0"/>
    </xf>
    <xf numFmtId="178" fontId="67" fillId="0" borderId="0" xfId="61" applyFont="1" applyAlignment="1" applyProtection="1">
      <alignment horizontal="center" vertical="center"/>
      <protection locked="0"/>
    </xf>
    <xf numFmtId="0" fontId="28" fillId="0" borderId="0" xfId="0" applyFont="1" applyAlignment="1" applyProtection="1">
      <alignment horizontal="center" vertical="center"/>
      <protection locked="0"/>
    </xf>
    <xf numFmtId="167" fontId="23" fillId="0" borderId="34" xfId="0" applyNumberFormat="1" applyFont="1" applyBorder="1" applyAlignment="1" applyProtection="1">
      <alignment horizontal="center" vertical="center" wrapText="1"/>
      <protection locked="0"/>
    </xf>
    <xf numFmtId="0" fontId="18" fillId="0" borderId="15" xfId="0" applyFont="1" applyBorder="1" applyAlignment="1" applyProtection="1">
      <alignment vertical="center"/>
      <protection locked="0"/>
    </xf>
    <xf numFmtId="173" fontId="89" fillId="0" borderId="15" xfId="0" applyNumberFormat="1" applyFont="1" applyBorder="1" applyAlignment="1" applyProtection="1">
      <alignment horizontal="center" vertical="center" wrapText="1"/>
      <protection locked="0"/>
    </xf>
    <xf numFmtId="11" fontId="89" fillId="0" borderId="15" xfId="0" applyNumberFormat="1" applyFont="1" applyBorder="1" applyAlignment="1" applyProtection="1">
      <alignment horizontal="center" vertical="center" wrapText="1"/>
      <protection locked="0"/>
    </xf>
    <xf numFmtId="167" fontId="26" fillId="0" borderId="0" xfId="80" applyNumberFormat="1" applyFont="1" applyAlignment="1" applyProtection="1">
      <alignment horizontal="center" vertical="center"/>
      <protection locked="0"/>
    </xf>
    <xf numFmtId="188" fontId="26" fillId="0" borderId="0" xfId="80" applyNumberFormat="1" applyFont="1" applyAlignment="1" applyProtection="1">
      <alignment horizontal="center" vertical="center"/>
      <protection locked="0"/>
    </xf>
    <xf numFmtId="188" fontId="26" fillId="0" borderId="0" xfId="80" applyNumberFormat="1" applyFont="1" applyAlignment="1" applyProtection="1">
      <alignment horizontal="left" vertical="center"/>
      <protection locked="0"/>
    </xf>
    <xf numFmtId="0" fontId="21" fillId="0" borderId="0" xfId="63" applyFont="1" applyAlignment="1" applyProtection="1">
      <alignment horizontal="justify" vertical="justify" wrapText="1"/>
      <protection locked="0"/>
    </xf>
    <xf numFmtId="0" fontId="75" fillId="0" borderId="0" xfId="63" applyFont="1" applyAlignment="1" applyProtection="1">
      <alignment horizontal="center" vertical="top" wrapText="1"/>
      <protection locked="0"/>
    </xf>
    <xf numFmtId="178" fontId="21" fillId="0" borderId="0" xfId="75" applyFont="1" applyAlignment="1" applyProtection="1">
      <alignment vertical="center"/>
      <protection locked="0"/>
    </xf>
    <xf numFmtId="178" fontId="21" fillId="0" borderId="0" xfId="75" applyFont="1" applyProtection="1">
      <protection locked="0"/>
    </xf>
    <xf numFmtId="178" fontId="85" fillId="0" borderId="0" xfId="75" applyFont="1" applyProtection="1">
      <protection locked="0"/>
    </xf>
    <xf numFmtId="178" fontId="28" fillId="0" borderId="0" xfId="70" applyFont="1" applyAlignment="1" applyProtection="1">
      <alignment vertical="justify" wrapText="1"/>
      <protection locked="0"/>
    </xf>
    <xf numFmtId="0" fontId="21" fillId="0" borderId="0" xfId="63" applyFont="1" applyAlignment="1" applyProtection="1">
      <alignment vertical="center"/>
      <protection locked="0"/>
    </xf>
    <xf numFmtId="0" fontId="18" fillId="0" borderId="0" xfId="79" applyProtection="1">
      <protection locked="0"/>
    </xf>
    <xf numFmtId="0" fontId="18" fillId="0" borderId="0" xfId="63" applyAlignment="1" applyProtection="1">
      <alignment horizontal="left" vertical="center"/>
      <protection locked="0"/>
    </xf>
    <xf numFmtId="0" fontId="18" fillId="0" borderId="0" xfId="63" applyAlignment="1" applyProtection="1">
      <alignment horizontal="left"/>
      <protection locked="0"/>
    </xf>
    <xf numFmtId="0" fontId="75" fillId="0" borderId="0" xfId="63" applyFont="1" applyAlignment="1" applyProtection="1">
      <alignment horizontal="justify" vertical="center" wrapText="1"/>
      <protection locked="0"/>
    </xf>
    <xf numFmtId="0" fontId="75" fillId="0" borderId="0" xfId="63" applyFont="1" applyAlignment="1" applyProtection="1">
      <alignment horizontal="justify" vertical="justify" wrapText="1"/>
      <protection locked="0"/>
    </xf>
    <xf numFmtId="167" fontId="88" fillId="0" borderId="0" xfId="80" applyNumberFormat="1" applyFont="1" applyAlignment="1" applyProtection="1">
      <alignment vertical="center"/>
      <protection locked="0"/>
    </xf>
    <xf numFmtId="167" fontId="60" fillId="0" borderId="0" xfId="80" applyNumberFormat="1" applyFont="1" applyAlignment="1" applyProtection="1">
      <alignment vertical="center"/>
      <protection locked="0"/>
    </xf>
    <xf numFmtId="167" fontId="60" fillId="0" borderId="0" xfId="80" applyNumberFormat="1" applyFont="1" applyAlignment="1" applyProtection="1">
      <alignment horizontal="center" vertical="center"/>
      <protection locked="0"/>
    </xf>
    <xf numFmtId="189" fontId="89" fillId="0" borderId="0" xfId="80" applyNumberFormat="1" applyFont="1" applyAlignment="1" applyProtection="1">
      <alignment vertical="center" wrapText="1"/>
      <protection locked="0"/>
    </xf>
    <xf numFmtId="9" fontId="89" fillId="0" borderId="0" xfId="80" applyNumberFormat="1" applyFont="1" applyAlignment="1" applyProtection="1">
      <alignment vertical="center" wrapText="1"/>
      <protection locked="0"/>
    </xf>
    <xf numFmtId="167" fontId="88" fillId="0" borderId="0" xfId="80" applyNumberFormat="1" applyFont="1" applyAlignment="1" applyProtection="1">
      <alignment horizontal="center" vertical="center"/>
      <protection locked="0"/>
    </xf>
    <xf numFmtId="42" fontId="18" fillId="0" borderId="0" xfId="80" applyNumberFormat="1" applyFont="1" applyProtection="1">
      <protection locked="0"/>
    </xf>
    <xf numFmtId="189" fontId="18" fillId="0" borderId="0" xfId="80" applyNumberFormat="1" applyFont="1" applyProtection="1">
      <protection locked="0"/>
    </xf>
    <xf numFmtId="9" fontId="18" fillId="0" borderId="0" xfId="80" applyNumberFormat="1" applyFont="1" applyProtection="1">
      <protection locked="0"/>
    </xf>
    <xf numFmtId="9" fontId="27" fillId="0" borderId="0" xfId="83" applyFont="1" applyFill="1" applyBorder="1" applyAlignment="1" applyProtection="1">
      <alignment horizontal="center" vertical="center" wrapText="1"/>
      <protection locked="0"/>
    </xf>
    <xf numFmtId="167" fontId="27" fillId="0" borderId="0" xfId="80" applyNumberFormat="1" applyFont="1" applyAlignment="1" applyProtection="1">
      <alignment horizontal="center" vertical="center"/>
      <protection locked="0"/>
    </xf>
    <xf numFmtId="10" fontId="27" fillId="0" borderId="0" xfId="80" applyNumberFormat="1" applyFont="1" applyAlignment="1" applyProtection="1">
      <alignment horizontal="center" vertical="center" wrapText="1"/>
      <protection locked="0"/>
    </xf>
    <xf numFmtId="10" fontId="27" fillId="0" borderId="0" xfId="80" applyNumberFormat="1" applyFont="1" applyAlignment="1" applyProtection="1">
      <alignment vertical="center" wrapText="1"/>
      <protection locked="0"/>
    </xf>
    <xf numFmtId="0" fontId="18" fillId="0" borderId="15" xfId="0" applyFont="1" applyBorder="1" applyAlignment="1" applyProtection="1">
      <alignment horizontal="center" vertical="center" wrapText="1"/>
      <protection locked="0"/>
    </xf>
    <xf numFmtId="167" fontId="23" fillId="0" borderId="15" xfId="80" applyNumberFormat="1" applyFont="1" applyBorder="1" applyAlignment="1" applyProtection="1">
      <alignment horizontal="center" vertical="center" wrapText="1"/>
      <protection locked="0"/>
    </xf>
    <xf numFmtId="178" fontId="60" fillId="0" borderId="0" xfId="61" applyFont="1" applyAlignment="1">
      <alignment vertical="center" wrapText="1"/>
    </xf>
    <xf numFmtId="49" fontId="21" fillId="0" borderId="0" xfId="63" applyNumberFormat="1" applyFont="1" applyAlignment="1">
      <alignment horizontal="center" vertical="center" wrapText="1"/>
    </xf>
    <xf numFmtId="0" fontId="18" fillId="0" borderId="0" xfId="63" applyAlignment="1">
      <alignment horizontal="center" vertical="center" wrapText="1"/>
    </xf>
    <xf numFmtId="0" fontId="25" fillId="0" borderId="0" xfId="63" applyFont="1" applyAlignment="1">
      <alignment horizontal="center" vertical="center" wrapText="1"/>
    </xf>
    <xf numFmtId="0" fontId="73" fillId="0" borderId="0" xfId="63" applyFont="1" applyAlignment="1">
      <alignment horizontal="center" vertical="center" wrapText="1"/>
    </xf>
    <xf numFmtId="14" fontId="73" fillId="0" borderId="0" xfId="63" applyNumberFormat="1" applyFont="1" applyAlignment="1">
      <alignment horizontal="center" vertical="center" wrapText="1"/>
    </xf>
    <xf numFmtId="166" fontId="79" fillId="0" borderId="49" xfId="0" applyNumberFormat="1" applyFont="1" applyBorder="1" applyAlignment="1" applyProtection="1">
      <alignment horizontal="center" vertical="center" wrapText="1"/>
      <protection locked="0"/>
    </xf>
    <xf numFmtId="178" fontId="23" fillId="0" borderId="0" xfId="61" applyFont="1" applyAlignment="1" applyProtection="1">
      <alignment horizontal="center" vertical="center"/>
      <protection locked="0"/>
    </xf>
    <xf numFmtId="0" fontId="94" fillId="0" borderId="0" xfId="74" applyFont="1" applyAlignment="1" applyProtection="1">
      <alignment horizontal="center" vertical="center"/>
      <protection locked="0"/>
    </xf>
    <xf numFmtId="0" fontId="95" fillId="0" borderId="0" xfId="61" applyNumberFormat="1" applyFont="1" applyProtection="1">
      <protection locked="0"/>
    </xf>
    <xf numFmtId="167" fontId="61" fillId="0" borderId="15" xfId="0" applyNumberFormat="1" applyFont="1" applyBorder="1" applyAlignment="1" applyProtection="1">
      <alignment horizontal="center" vertical="center"/>
      <protection locked="0"/>
    </xf>
    <xf numFmtId="0" fontId="0" fillId="0" borderId="0" xfId="0" applyProtection="1">
      <protection locked="0"/>
    </xf>
    <xf numFmtId="0" fontId="18" fillId="0" borderId="0" xfId="0" applyFont="1" applyProtection="1">
      <protection locked="0"/>
    </xf>
    <xf numFmtId="167" fontId="60" fillId="0" borderId="15" xfId="0" applyNumberFormat="1" applyFont="1" applyBorder="1" applyAlignment="1" applyProtection="1">
      <alignment vertical="center" wrapText="1"/>
      <protection locked="0"/>
    </xf>
    <xf numFmtId="168" fontId="18" fillId="0" borderId="15" xfId="0" applyNumberFormat="1" applyFont="1" applyBorder="1" applyAlignment="1" applyProtection="1">
      <alignment horizontal="center" vertical="center"/>
      <protection locked="0"/>
    </xf>
    <xf numFmtId="1" fontId="18" fillId="0" borderId="15" xfId="0" applyNumberFormat="1" applyFont="1" applyBorder="1" applyAlignment="1" applyProtection="1">
      <alignment horizontal="center" vertical="center"/>
      <protection locked="0"/>
    </xf>
    <xf numFmtId="169" fontId="18" fillId="0" borderId="51" xfId="0" applyNumberFormat="1" applyFont="1" applyBorder="1" applyAlignment="1" applyProtection="1">
      <alignment horizontal="center" vertical="center" wrapText="1"/>
      <protection locked="0"/>
    </xf>
    <xf numFmtId="169" fontId="18" fillId="0" borderId="15" xfId="0" applyNumberFormat="1" applyFont="1" applyBorder="1" applyAlignment="1" applyProtection="1">
      <alignment horizontal="center" vertical="center"/>
      <protection locked="0"/>
    </xf>
    <xf numFmtId="0" fontId="18" fillId="0" borderId="0" xfId="0" applyFont="1" applyAlignment="1" applyProtection="1">
      <alignment wrapText="1"/>
      <protection locked="0"/>
    </xf>
    <xf numFmtId="178" fontId="60" fillId="0" borderId="0" xfId="61" applyFont="1" applyAlignment="1" applyProtection="1">
      <alignment vertical="center" wrapText="1"/>
      <protection locked="0"/>
    </xf>
    <xf numFmtId="1" fontId="125" fillId="0" borderId="0" xfId="74" applyNumberFormat="1" applyFont="1" applyAlignment="1" applyProtection="1">
      <alignment horizontal="center" vertical="center"/>
      <protection locked="0"/>
    </xf>
    <xf numFmtId="1" fontId="126" fillId="0" borderId="0" xfId="61" applyNumberFormat="1" applyFont="1" applyAlignment="1" applyProtection="1">
      <alignment horizontal="center" vertical="center"/>
      <protection locked="0"/>
    </xf>
    <xf numFmtId="1" fontId="125" fillId="0" borderId="0" xfId="61" applyNumberFormat="1" applyFont="1" applyAlignment="1" applyProtection="1">
      <alignment horizontal="center"/>
      <protection locked="0"/>
    </xf>
    <xf numFmtId="0" fontId="18" fillId="0" borderId="0" xfId="0" applyFont="1" applyAlignment="1" applyProtection="1">
      <alignment horizontal="center"/>
      <protection locked="0"/>
    </xf>
    <xf numFmtId="167" fontId="88" fillId="0" borderId="15" xfId="0" applyNumberFormat="1" applyFont="1" applyBorder="1" applyAlignment="1" applyProtection="1">
      <alignment vertical="center"/>
      <protection locked="0"/>
    </xf>
    <xf numFmtId="1" fontId="18" fillId="27" borderId="15" xfId="0" applyNumberFormat="1" applyFont="1" applyFill="1" applyBorder="1" applyAlignment="1" applyProtection="1">
      <alignment horizontal="center" vertical="center"/>
      <protection locked="0"/>
    </xf>
    <xf numFmtId="1" fontId="18" fillId="27" borderId="15" xfId="0" applyNumberFormat="1" applyFont="1" applyFill="1" applyBorder="1" applyAlignment="1" applyProtection="1">
      <alignment horizontal="center" vertical="center" wrapText="1"/>
      <protection locked="0"/>
    </xf>
    <xf numFmtId="167" fontId="26" fillId="0" borderId="15" xfId="0" applyNumberFormat="1" applyFont="1" applyBorder="1" applyAlignment="1" applyProtection="1">
      <alignment vertical="center"/>
      <protection locked="0"/>
    </xf>
    <xf numFmtId="178" fontId="60" fillId="0" borderId="15" xfId="61" applyFont="1" applyBorder="1" applyAlignment="1" applyProtection="1">
      <alignment vertical="center"/>
      <protection locked="0"/>
    </xf>
    <xf numFmtId="167" fontId="60" fillId="0" borderId="15" xfId="0" applyNumberFormat="1" applyFont="1" applyBorder="1" applyAlignment="1" applyProtection="1">
      <alignment vertical="center"/>
      <protection locked="0"/>
    </xf>
    <xf numFmtId="0" fontId="60" fillId="0" borderId="33" xfId="0" applyFont="1" applyBorder="1" applyAlignment="1" applyProtection="1">
      <alignment vertical="center" wrapText="1"/>
      <protection locked="0"/>
    </xf>
    <xf numFmtId="167" fontId="60" fillId="0" borderId="19" xfId="0" applyNumberFormat="1" applyFont="1" applyBorder="1" applyAlignment="1" applyProtection="1">
      <alignment vertical="center" wrapText="1"/>
      <protection locked="0"/>
    </xf>
    <xf numFmtId="166" fontId="18" fillId="0" borderId="15" xfId="0" applyNumberFormat="1" applyFont="1" applyBorder="1" applyAlignment="1" applyProtection="1">
      <alignment horizontal="center" vertical="center" wrapText="1"/>
      <protection locked="0"/>
    </xf>
    <xf numFmtId="167" fontId="61" fillId="0" borderId="0" xfId="0" applyNumberFormat="1" applyFont="1" applyAlignment="1" applyProtection="1">
      <alignment horizontal="left" vertical="center"/>
      <protection locked="0"/>
    </xf>
    <xf numFmtId="2" fontId="18" fillId="0" borderId="0" xfId="0" applyNumberFormat="1" applyFont="1" applyProtection="1">
      <protection locked="0"/>
    </xf>
    <xf numFmtId="0" fontId="106" fillId="0" borderId="0" xfId="63" applyFont="1" applyAlignment="1" applyProtection="1">
      <alignment horizontal="center" vertical="center"/>
      <protection locked="0"/>
    </xf>
    <xf numFmtId="0" fontId="94" fillId="0" borderId="0" xfId="63" applyFont="1" applyAlignment="1" applyProtection="1">
      <alignment horizontal="center" vertical="center"/>
      <protection locked="0"/>
    </xf>
    <xf numFmtId="178" fontId="26" fillId="0" borderId="0" xfId="61" applyFont="1" applyAlignment="1" applyProtection="1">
      <alignment horizontal="center" vertical="center"/>
      <protection locked="0"/>
    </xf>
    <xf numFmtId="0" fontId="94" fillId="0" borderId="0" xfId="63" applyFont="1" applyProtection="1">
      <protection locked="0"/>
    </xf>
    <xf numFmtId="167" fontId="61" fillId="27" borderId="34" xfId="80" applyNumberFormat="1" applyFont="1" applyFill="1" applyBorder="1" applyAlignment="1" applyProtection="1">
      <alignment horizontal="center" vertical="center"/>
      <protection locked="0"/>
    </xf>
    <xf numFmtId="0" fontId="25" fillId="0" borderId="15" xfId="63" applyFont="1" applyBorder="1" applyAlignment="1" applyProtection="1">
      <alignment horizontal="center" vertical="center" wrapText="1"/>
      <protection locked="0"/>
    </xf>
    <xf numFmtId="0" fontId="107" fillId="0" borderId="0" xfId="65" applyFont="1" applyAlignment="1" applyProtection="1">
      <alignment horizontal="center" vertical="center"/>
      <protection locked="0"/>
    </xf>
    <xf numFmtId="167" fontId="88" fillId="0" borderId="0" xfId="65" applyNumberFormat="1" applyFont="1" applyAlignment="1" applyProtection="1">
      <alignment horizontal="center" vertical="center"/>
      <protection locked="0"/>
    </xf>
    <xf numFmtId="167" fontId="88" fillId="0" borderId="0" xfId="65" applyNumberFormat="1" applyFont="1" applyAlignment="1" applyProtection="1">
      <alignment vertical="center"/>
      <protection locked="0"/>
    </xf>
    <xf numFmtId="167" fontId="60" fillId="0" borderId="0" xfId="65" applyNumberFormat="1" applyFont="1" applyAlignment="1" applyProtection="1">
      <alignment horizontal="center" vertical="center" wrapText="1"/>
      <protection locked="0"/>
    </xf>
    <xf numFmtId="167" fontId="26" fillId="0" borderId="0" xfId="65" applyNumberFormat="1" applyFont="1" applyAlignment="1" applyProtection="1">
      <alignment vertical="center"/>
      <protection locked="0"/>
    </xf>
    <xf numFmtId="167" fontId="18" fillId="0" borderId="0" xfId="65" applyNumberFormat="1" applyAlignment="1" applyProtection="1">
      <alignment horizontal="center" vertical="center"/>
      <protection locked="0"/>
    </xf>
    <xf numFmtId="0" fontId="18" fillId="0" borderId="0" xfId="65" applyProtection="1">
      <protection locked="0"/>
    </xf>
    <xf numFmtId="172" fontId="102" fillId="0" borderId="0" xfId="80" applyNumberFormat="1" applyFont="1" applyAlignment="1" applyProtection="1">
      <alignment horizontal="center" vertical="center" wrapText="1"/>
      <protection locked="0"/>
    </xf>
    <xf numFmtId="0" fontId="107" fillId="0" borderId="0" xfId="80" applyFont="1" applyAlignment="1" applyProtection="1">
      <alignment horizontal="center" vertical="center" wrapText="1"/>
      <protection locked="0"/>
    </xf>
    <xf numFmtId="0" fontId="28" fillId="0" borderId="0" xfId="80" applyFont="1" applyAlignment="1" applyProtection="1">
      <alignment vertical="center" wrapText="1"/>
      <protection locked="0"/>
    </xf>
    <xf numFmtId="0" fontId="79" fillId="0" borderId="34" xfId="80" applyFont="1" applyBorder="1" applyAlignment="1" applyProtection="1">
      <alignment horizontal="center" vertical="center" wrapText="1"/>
      <protection locked="0"/>
    </xf>
    <xf numFmtId="193" fontId="89" fillId="0" borderId="0" xfId="80" applyNumberFormat="1" applyFont="1" applyProtection="1">
      <protection locked="0"/>
    </xf>
    <xf numFmtId="188" fontId="69" fillId="0" borderId="0" xfId="80" applyNumberFormat="1" applyFont="1" applyAlignment="1" applyProtection="1">
      <alignment horizontal="center" vertical="center"/>
      <protection locked="0"/>
    </xf>
    <xf numFmtId="167" fontId="60" fillId="0" borderId="0" xfId="0" applyNumberFormat="1" applyFont="1" applyAlignment="1" applyProtection="1">
      <alignment horizontal="center" vertical="center" wrapText="1"/>
      <protection locked="0"/>
    </xf>
    <xf numFmtId="167" fontId="60" fillId="0" borderId="0" xfId="0" applyNumberFormat="1" applyFont="1" applyAlignment="1" applyProtection="1">
      <alignment vertical="center"/>
      <protection locked="0"/>
    </xf>
    <xf numFmtId="0" fontId="18" fillId="0" borderId="0" xfId="63" applyAlignment="1" applyProtection="1">
      <alignment wrapText="1"/>
      <protection locked="0"/>
    </xf>
    <xf numFmtId="169" fontId="18" fillId="0" borderId="51" xfId="0" applyNumberFormat="1" applyFont="1" applyBorder="1" applyAlignment="1" applyProtection="1">
      <alignment horizontal="center" vertical="center"/>
      <protection locked="0"/>
    </xf>
    <xf numFmtId="178" fontId="23" fillId="0" borderId="0" xfId="61" applyFont="1" applyAlignment="1" applyProtection="1">
      <alignment horizontal="center" vertical="center"/>
      <protection hidden="1"/>
    </xf>
    <xf numFmtId="178" fontId="60" fillId="0" borderId="0" xfId="61" applyFont="1" applyAlignment="1" applyProtection="1">
      <alignment vertical="center"/>
      <protection hidden="1"/>
    </xf>
    <xf numFmtId="178" fontId="23" fillId="0" borderId="0" xfId="61" applyFont="1" applyProtection="1">
      <protection hidden="1"/>
    </xf>
    <xf numFmtId="0" fontId="23" fillId="0" borderId="0" xfId="61" applyNumberFormat="1" applyFont="1" applyProtection="1">
      <protection hidden="1"/>
    </xf>
    <xf numFmtId="0" fontId="25" fillId="0" borderId="15" xfId="0" applyFont="1" applyBorder="1" applyAlignment="1" applyProtection="1">
      <alignment horizontal="center" vertical="center"/>
      <protection hidden="1"/>
    </xf>
    <xf numFmtId="0" fontId="105" fillId="0" borderId="0" xfId="80" applyFont="1" applyAlignment="1" applyProtection="1">
      <alignment horizontal="center" vertical="center"/>
      <protection hidden="1"/>
    </xf>
    <xf numFmtId="0" fontId="101" fillId="0" borderId="0" xfId="80" applyFont="1" applyAlignment="1" applyProtection="1">
      <alignment horizontal="center" vertical="center" wrapText="1"/>
      <protection hidden="1"/>
    </xf>
    <xf numFmtId="178" fontId="26" fillId="0" borderId="0" xfId="61" applyFont="1" applyAlignment="1" applyProtection="1">
      <alignment horizontal="center" vertical="center" wrapText="1"/>
      <protection hidden="1"/>
    </xf>
    <xf numFmtId="0" fontId="18" fillId="0" borderId="0" xfId="63" applyAlignment="1" applyProtection="1">
      <alignment horizontal="center" vertical="center"/>
      <protection hidden="1"/>
    </xf>
    <xf numFmtId="0" fontId="18" fillId="0" borderId="0" xfId="63" applyAlignment="1" applyProtection="1">
      <alignment horizontal="center" vertical="center" wrapText="1"/>
      <protection hidden="1"/>
    </xf>
    <xf numFmtId="0" fontId="89" fillId="0" borderId="0" xfId="80" applyFont="1" applyProtection="1">
      <protection hidden="1"/>
    </xf>
    <xf numFmtId="0" fontId="102" fillId="0" borderId="0" xfId="80" applyFont="1" applyAlignment="1" applyProtection="1">
      <alignment horizontal="center" vertical="center" wrapText="1"/>
      <protection hidden="1"/>
    </xf>
    <xf numFmtId="1" fontId="21" fillId="0" borderId="0" xfId="61" applyNumberFormat="1" applyFont="1" applyAlignment="1" applyProtection="1">
      <alignment horizontal="center" vertical="center"/>
      <protection locked="0"/>
    </xf>
    <xf numFmtId="0" fontId="94" fillId="0" borderId="0" xfId="74" applyFont="1" applyAlignment="1" applyProtection="1">
      <alignment horizontal="center" vertical="center"/>
      <protection locked="0" hidden="1"/>
    </xf>
    <xf numFmtId="0" fontId="25" fillId="0" borderId="0" xfId="0" applyFont="1" applyAlignment="1" applyProtection="1">
      <alignment vertical="center" wrapText="1"/>
      <protection locked="0" hidden="1"/>
    </xf>
    <xf numFmtId="0" fontId="25" fillId="0" borderId="29" xfId="0" applyFont="1" applyBorder="1" applyAlignment="1" applyProtection="1">
      <alignment vertical="center" wrapText="1"/>
      <protection locked="0" hidden="1"/>
    </xf>
    <xf numFmtId="0" fontId="18" fillId="0" borderId="0" xfId="0" applyFont="1" applyAlignment="1" applyProtection="1">
      <alignment horizontal="center" vertical="center"/>
      <protection locked="0" hidden="1"/>
    </xf>
    <xf numFmtId="0" fontId="25" fillId="0" borderId="14" xfId="0" applyFont="1" applyBorder="1" applyAlignment="1" applyProtection="1">
      <alignment vertical="center" wrapText="1"/>
      <protection locked="0" hidden="1"/>
    </xf>
    <xf numFmtId="0" fontId="25" fillId="0" borderId="37" xfId="0" applyFont="1" applyBorder="1" applyAlignment="1" applyProtection="1">
      <alignment vertical="center" wrapText="1"/>
      <protection locked="0" hidden="1"/>
    </xf>
    <xf numFmtId="9" fontId="25" fillId="0" borderId="33" xfId="47" applyNumberFormat="1" applyFont="1" applyBorder="1" applyAlignment="1" applyProtection="1">
      <alignment horizontal="center" vertical="center"/>
      <protection locked="0" hidden="1"/>
    </xf>
    <xf numFmtId="0" fontId="66" fillId="0" borderId="51" xfId="0" applyFont="1" applyBorder="1" applyAlignment="1" applyProtection="1">
      <alignment horizontal="center" vertical="center" wrapText="1"/>
      <protection locked="0" hidden="1"/>
    </xf>
    <xf numFmtId="9" fontId="25" fillId="0" borderId="21" xfId="47" applyNumberFormat="1" applyFont="1" applyBorder="1" applyAlignment="1" applyProtection="1">
      <alignment horizontal="center" vertical="center"/>
      <protection locked="0" hidden="1"/>
    </xf>
    <xf numFmtId="0" fontId="30" fillId="0" borderId="15" xfId="0" applyFont="1" applyBorder="1" applyAlignment="1" applyProtection="1">
      <alignment horizontal="center" vertical="center" wrapText="1"/>
      <protection locked="0" hidden="1"/>
    </xf>
    <xf numFmtId="167" fontId="26" fillId="0" borderId="61" xfId="0" applyNumberFormat="1" applyFont="1" applyBorder="1" applyAlignment="1" applyProtection="1">
      <alignment vertical="center"/>
      <protection locked="0" hidden="1"/>
    </xf>
    <xf numFmtId="0" fontId="18" fillId="0" borderId="0" xfId="0" applyFont="1" applyProtection="1">
      <protection locked="0" hidden="1"/>
    </xf>
    <xf numFmtId="167" fontId="18" fillId="0" borderId="15" xfId="0" applyNumberFormat="1" applyFont="1" applyBorder="1" applyAlignment="1" applyProtection="1">
      <alignment horizontal="center" vertical="center"/>
      <protection locked="0" hidden="1"/>
    </xf>
    <xf numFmtId="167" fontId="26" fillId="0" borderId="18" xfId="0" applyNumberFormat="1" applyFont="1" applyBorder="1" applyAlignment="1" applyProtection="1">
      <alignment vertical="center"/>
      <protection locked="0" hidden="1"/>
    </xf>
    <xf numFmtId="168" fontId="18" fillId="0" borderId="19" xfId="0" applyNumberFormat="1" applyFont="1" applyBorder="1" applyAlignment="1" applyProtection="1">
      <alignment horizontal="center" vertical="center"/>
      <protection locked="0" hidden="1"/>
    </xf>
    <xf numFmtId="171" fontId="18" fillId="0" borderId="19" xfId="0" applyNumberFormat="1" applyFont="1" applyBorder="1" applyAlignment="1" applyProtection="1">
      <alignment horizontal="center" vertical="center"/>
      <protection locked="0" hidden="1"/>
    </xf>
    <xf numFmtId="0" fontId="18" fillId="0" borderId="19" xfId="0" applyFont="1" applyBorder="1" applyAlignment="1" applyProtection="1">
      <alignment horizontal="center" vertical="center"/>
      <protection locked="0" hidden="1"/>
    </xf>
    <xf numFmtId="169" fontId="18" fillId="0" borderId="19" xfId="0" applyNumberFormat="1" applyFont="1" applyBorder="1" applyAlignment="1" applyProtection="1">
      <alignment horizontal="center" vertical="center"/>
      <protection locked="0" hidden="1"/>
    </xf>
    <xf numFmtId="0" fontId="58" fillId="0" borderId="19" xfId="0" applyFont="1" applyBorder="1" applyAlignment="1" applyProtection="1">
      <alignment horizontal="center" vertical="center"/>
      <protection locked="0" hidden="1"/>
    </xf>
    <xf numFmtId="9" fontId="18" fillId="0" borderId="19" xfId="0" applyNumberFormat="1" applyFont="1" applyBorder="1" applyAlignment="1" applyProtection="1">
      <alignment horizontal="center" vertical="center"/>
      <protection locked="0" hidden="1"/>
    </xf>
    <xf numFmtId="173" fontId="18" fillId="0" borderId="19" xfId="0" applyNumberFormat="1" applyFont="1" applyBorder="1" applyAlignment="1" applyProtection="1">
      <alignment horizontal="center" vertical="center"/>
      <protection locked="0" hidden="1"/>
    </xf>
    <xf numFmtId="2" fontId="18" fillId="0" borderId="19" xfId="0" applyNumberFormat="1" applyFont="1" applyBorder="1" applyAlignment="1" applyProtection="1">
      <alignment horizontal="center" vertical="center"/>
      <protection locked="0" hidden="1"/>
    </xf>
    <xf numFmtId="173" fontId="28" fillId="0" borderId="15" xfId="0" applyNumberFormat="1" applyFont="1" applyBorder="1" applyAlignment="1" applyProtection="1">
      <alignment horizontal="center" vertical="center" wrapText="1"/>
      <protection locked="0" hidden="1"/>
    </xf>
    <xf numFmtId="173" fontId="28" fillId="0" borderId="15" xfId="0" applyNumberFormat="1" applyFont="1" applyBorder="1" applyAlignment="1" applyProtection="1">
      <alignment horizontal="center" vertical="center"/>
      <protection locked="0" hidden="1"/>
    </xf>
    <xf numFmtId="1" fontId="21" fillId="0" borderId="0" xfId="61" applyNumberFormat="1" applyFont="1" applyAlignment="1" applyProtection="1">
      <alignment horizontal="center" vertical="center"/>
      <protection locked="0" hidden="1"/>
    </xf>
    <xf numFmtId="0" fontId="25" fillId="0" borderId="21" xfId="0" applyFont="1" applyBorder="1" applyAlignment="1" applyProtection="1">
      <alignment horizontal="center" vertical="center"/>
      <protection locked="0" hidden="1"/>
    </xf>
    <xf numFmtId="0" fontId="25" fillId="0" borderId="51" xfId="0" applyFont="1" applyBorder="1" applyAlignment="1" applyProtection="1">
      <alignment horizontal="center" vertical="center"/>
      <protection locked="0" hidden="1"/>
    </xf>
    <xf numFmtId="0" fontId="25" fillId="0" borderId="48" xfId="0" applyFont="1" applyBorder="1" applyAlignment="1" applyProtection="1">
      <alignment horizontal="center" vertical="center" wrapText="1"/>
      <protection locked="0" hidden="1"/>
    </xf>
    <xf numFmtId="0" fontId="18" fillId="0" borderId="33" xfId="0" applyFont="1" applyBorder="1" applyProtection="1">
      <protection locked="0" hidden="1"/>
    </xf>
    <xf numFmtId="0" fontId="21" fillId="0" borderId="38" xfId="0" applyFont="1" applyBorder="1" applyAlignment="1" applyProtection="1">
      <alignment horizontal="center" vertical="center" wrapText="1"/>
      <protection locked="0" hidden="1"/>
    </xf>
    <xf numFmtId="0" fontId="21" fillId="0" borderId="37" xfId="0" applyFont="1" applyBorder="1" applyAlignment="1" applyProtection="1">
      <alignment horizontal="center" vertical="center" wrapText="1"/>
      <protection locked="0" hidden="1"/>
    </xf>
    <xf numFmtId="0" fontId="63" fillId="0" borderId="33" xfId="0" applyFont="1" applyBorder="1" applyAlignment="1" applyProtection="1">
      <alignment horizontal="center" vertical="center" textRotation="90"/>
      <protection locked="0" hidden="1"/>
    </xf>
    <xf numFmtId="0" fontId="63" fillId="0" borderId="49" xfId="0" applyFont="1" applyBorder="1" applyAlignment="1" applyProtection="1">
      <alignment horizontal="center" vertical="center" textRotation="90"/>
      <protection locked="0" hidden="1"/>
    </xf>
    <xf numFmtId="0" fontId="67" fillId="0" borderId="51" xfId="0" applyFont="1" applyBorder="1" applyAlignment="1" applyProtection="1">
      <alignment horizontal="center" vertical="center" wrapText="1"/>
      <protection locked="0" hidden="1"/>
    </xf>
    <xf numFmtId="167" fontId="88" fillId="0" borderId="17" xfId="0" applyNumberFormat="1" applyFont="1" applyBorder="1" applyAlignment="1" applyProtection="1">
      <alignment horizontal="center" vertical="center"/>
      <protection locked="0" hidden="1"/>
    </xf>
    <xf numFmtId="167" fontId="26" fillId="0" borderId="38" xfId="0" applyNumberFormat="1" applyFont="1" applyBorder="1" applyAlignment="1" applyProtection="1">
      <alignment horizontal="center" vertical="center"/>
      <protection locked="0" hidden="1"/>
    </xf>
    <xf numFmtId="0" fontId="18" fillId="0" borderId="15" xfId="0" applyFont="1" applyBorder="1" applyAlignment="1" applyProtection="1">
      <alignment wrapText="1"/>
      <protection locked="0" hidden="1"/>
    </xf>
    <xf numFmtId="0" fontId="18" fillId="0" borderId="14" xfId="0" applyFont="1" applyBorder="1" applyAlignment="1" applyProtection="1">
      <alignment horizontal="right" vertical="center"/>
      <protection locked="0" hidden="1"/>
    </xf>
    <xf numFmtId="1" fontId="18" fillId="0" borderId="15" xfId="0" applyNumberFormat="1" applyFont="1" applyBorder="1" applyAlignment="1" applyProtection="1">
      <alignment horizontal="center" vertical="center"/>
      <protection locked="0" hidden="1"/>
    </xf>
    <xf numFmtId="0" fontId="18" fillId="0" borderId="15" xfId="0" applyFont="1" applyBorder="1" applyAlignment="1" applyProtection="1">
      <alignment horizontal="center" vertical="center"/>
      <protection locked="0" hidden="1"/>
    </xf>
    <xf numFmtId="0" fontId="18" fillId="0" borderId="0" xfId="0" applyFont="1" applyAlignment="1" applyProtection="1">
      <alignment horizontal="right"/>
      <protection locked="0" hidden="1"/>
    </xf>
    <xf numFmtId="178" fontId="23" fillId="0" borderId="0" xfId="61" applyFont="1" applyAlignment="1" applyProtection="1">
      <alignment horizontal="center" vertical="center"/>
      <protection locked="0" hidden="1"/>
    </xf>
    <xf numFmtId="178" fontId="60" fillId="0" borderId="0" xfId="61" applyFont="1" applyAlignment="1" applyProtection="1">
      <alignment vertical="center"/>
      <protection locked="0" hidden="1"/>
    </xf>
    <xf numFmtId="178" fontId="23" fillId="0" borderId="0" xfId="61" applyFont="1" applyProtection="1">
      <protection locked="0" hidden="1"/>
    </xf>
    <xf numFmtId="178" fontId="60" fillId="0" borderId="0" xfId="61" applyFont="1" applyAlignment="1" applyProtection="1">
      <alignment vertical="center" wrapText="1"/>
      <protection locked="0" hidden="1"/>
    </xf>
    <xf numFmtId="178" fontId="69" fillId="0" borderId="28" xfId="61" applyFont="1" applyBorder="1" applyAlignment="1" applyProtection="1">
      <alignment horizontal="center" vertical="center" wrapText="1"/>
      <protection locked="0" hidden="1"/>
    </xf>
    <xf numFmtId="0" fontId="23" fillId="0" borderId="0" xfId="61" applyNumberFormat="1" applyFont="1" applyProtection="1">
      <protection locked="0" hidden="1"/>
    </xf>
    <xf numFmtId="0" fontId="25" fillId="0" borderId="0" xfId="63" applyFont="1" applyProtection="1">
      <protection locked="0"/>
    </xf>
    <xf numFmtId="0" fontId="25" fillId="0" borderId="0" xfId="63" applyFont="1" applyAlignment="1" applyProtection="1">
      <alignment vertical="center"/>
      <protection locked="0"/>
    </xf>
    <xf numFmtId="0" fontId="25" fillId="0" borderId="0" xfId="63" applyFont="1"/>
    <xf numFmtId="0" fontId="25" fillId="0" borderId="0" xfId="63" applyFont="1" applyAlignment="1" applyProtection="1">
      <alignment horizontal="left"/>
      <protection locked="0"/>
    </xf>
    <xf numFmtId="178" fontId="128" fillId="0" borderId="0" xfId="75" applyFont="1" applyAlignment="1" applyProtection="1">
      <alignment horizontal="left" vertical="center"/>
      <protection locked="0"/>
    </xf>
    <xf numFmtId="0" fontId="28" fillId="0" borderId="0" xfId="63" applyFont="1" applyAlignment="1" applyProtection="1">
      <alignment horizontal="justify" vertical="center" wrapText="1"/>
      <protection locked="0"/>
    </xf>
    <xf numFmtId="178" fontId="28" fillId="0" borderId="0" xfId="70" applyFont="1" applyAlignment="1" applyProtection="1">
      <alignment vertical="center" wrapText="1"/>
      <protection locked="0"/>
    </xf>
    <xf numFmtId="0" fontId="89" fillId="0" borderId="0" xfId="86" applyFont="1" applyProtection="1">
      <protection locked="0"/>
    </xf>
    <xf numFmtId="0" fontId="102" fillId="0" borderId="0" xfId="86" applyFont="1" applyProtection="1">
      <protection locked="0"/>
    </xf>
    <xf numFmtId="0" fontId="28" fillId="0" borderId="0" xfId="63" applyFont="1" applyAlignment="1" applyProtection="1">
      <alignment horizontal="center" vertical="center"/>
      <protection locked="0"/>
    </xf>
    <xf numFmtId="0" fontId="98" fillId="0" borderId="0" xfId="63" applyFont="1" applyAlignment="1" applyProtection="1">
      <alignment vertical="center"/>
      <protection locked="0"/>
    </xf>
    <xf numFmtId="0" fontId="59" fillId="0" borderId="0" xfId="63" applyFont="1" applyAlignment="1" applyProtection="1">
      <alignment vertical="center"/>
      <protection locked="0"/>
    </xf>
    <xf numFmtId="178" fontId="26" fillId="38" borderId="15" xfId="61" applyFont="1" applyFill="1" applyBorder="1" applyAlignment="1" applyProtection="1">
      <alignment horizontal="center" vertical="center"/>
      <protection locked="0"/>
    </xf>
    <xf numFmtId="173" fontId="126" fillId="0" borderId="0" xfId="61" applyNumberFormat="1" applyFont="1" applyAlignment="1" applyProtection="1">
      <alignment horizontal="center" vertical="center"/>
      <protection locked="0"/>
    </xf>
    <xf numFmtId="173" fontId="18" fillId="0" borderId="0" xfId="0" applyNumberFormat="1" applyFont="1" applyAlignment="1" applyProtection="1">
      <alignment horizontal="right"/>
      <protection locked="0"/>
    </xf>
    <xf numFmtId="0" fontId="79" fillId="0" borderId="0" xfId="87" applyFont="1"/>
    <xf numFmtId="0" fontId="79" fillId="0" borderId="0" xfId="87" applyFont="1" applyAlignment="1">
      <alignment horizontal="center"/>
    </xf>
    <xf numFmtId="0" fontId="132" fillId="0" borderId="0" xfId="87" applyFont="1"/>
    <xf numFmtId="2" fontId="132" fillId="0" borderId="0" xfId="87" applyNumberFormat="1" applyFont="1" applyAlignment="1">
      <alignment vertical="center"/>
    </xf>
    <xf numFmtId="0" fontId="132" fillId="0" borderId="0" xfId="87" applyFont="1" applyAlignment="1">
      <alignment vertical="center"/>
    </xf>
    <xf numFmtId="0" fontId="79" fillId="0" borderId="0" xfId="87" applyFont="1" applyAlignment="1">
      <alignment vertical="center"/>
    </xf>
    <xf numFmtId="166" fontId="18" fillId="0" borderId="0" xfId="90" applyNumberFormat="1" applyAlignment="1">
      <alignment vertical="center"/>
    </xf>
    <xf numFmtId="178" fontId="18" fillId="0" borderId="0" xfId="90" applyAlignment="1">
      <alignment vertical="center"/>
    </xf>
    <xf numFmtId="0" fontId="62" fillId="0" borderId="0" xfId="88" applyFont="1" applyProtection="1">
      <protection locked="0"/>
    </xf>
    <xf numFmtId="2" fontId="18" fillId="31" borderId="0" xfId="90" applyNumberFormat="1" applyFill="1" applyAlignment="1" applyProtection="1">
      <alignment horizontal="left" vertical="top" wrapText="1"/>
      <protection locked="0"/>
    </xf>
    <xf numFmtId="0" fontId="62" fillId="31" borderId="0" xfId="88" applyFont="1" applyFill="1" applyAlignment="1" applyProtection="1">
      <alignment horizontal="left" vertical="top"/>
      <protection locked="0"/>
    </xf>
    <xf numFmtId="0" fontId="79" fillId="0" borderId="0" xfId="87" applyFont="1" applyAlignment="1">
      <alignment horizontal="left" vertical="top"/>
    </xf>
    <xf numFmtId="173" fontId="79" fillId="0" borderId="0" xfId="87" applyNumberFormat="1" applyFont="1" applyAlignment="1">
      <alignment horizontal="left" vertical="top"/>
    </xf>
    <xf numFmtId="178" fontId="23" fillId="0" borderId="0" xfId="90" applyFont="1" applyAlignment="1">
      <alignment horizontal="left" vertical="center" wrapText="1"/>
    </xf>
    <xf numFmtId="166" fontId="23" fillId="0" borderId="0" xfId="90" applyNumberFormat="1" applyFont="1" applyAlignment="1">
      <alignment vertical="center"/>
    </xf>
    <xf numFmtId="173" fontId="79" fillId="0" borderId="0" xfId="87" applyNumberFormat="1" applyFont="1"/>
    <xf numFmtId="178" fontId="25" fillId="0" borderId="0" xfId="90" applyFont="1" applyAlignment="1">
      <alignment horizontal="left" vertical="center" wrapText="1"/>
    </xf>
    <xf numFmtId="9" fontId="18" fillId="0" borderId="0" xfId="93" applyFill="1" applyBorder="1" applyAlignment="1">
      <alignment horizontal="center"/>
    </xf>
    <xf numFmtId="0" fontId="79" fillId="0" borderId="0" xfId="87" applyFont="1" applyAlignment="1">
      <alignment horizontal="right" indent="1"/>
    </xf>
    <xf numFmtId="0" fontId="133" fillId="0" borderId="0" xfId="87" applyFont="1"/>
    <xf numFmtId="0" fontId="135" fillId="0" borderId="0" xfId="87" applyFont="1"/>
    <xf numFmtId="0" fontId="136" fillId="0" borderId="0" xfId="89" applyFont="1" applyAlignment="1">
      <alignment horizontal="center" vertical="center"/>
    </xf>
    <xf numFmtId="0" fontId="136" fillId="0" borderId="0" xfId="89" applyFont="1" applyAlignment="1" applyProtection="1">
      <alignment horizontal="center" vertical="center" wrapText="1"/>
      <protection locked="0"/>
    </xf>
    <xf numFmtId="1" fontId="137" fillId="0" borderId="0" xfId="89" applyNumberFormat="1" applyFont="1" applyAlignment="1" applyProtection="1">
      <alignment horizontal="center" vertical="center" wrapText="1"/>
      <protection locked="0"/>
    </xf>
    <xf numFmtId="0" fontId="134" fillId="0" borderId="15" xfId="87" applyFont="1" applyBorder="1" applyAlignment="1">
      <alignment horizontal="center" vertical="center"/>
    </xf>
    <xf numFmtId="0" fontId="134" fillId="0" borderId="15" xfId="87" applyFont="1" applyBorder="1" applyAlignment="1">
      <alignment horizontal="center" vertical="center" wrapText="1"/>
    </xf>
    <xf numFmtId="0" fontId="134" fillId="0" borderId="15" xfId="87" applyFont="1" applyBorder="1"/>
    <xf numFmtId="0" fontId="133" fillId="0" borderId="15" xfId="87" applyFont="1" applyBorder="1"/>
    <xf numFmtId="0" fontId="133" fillId="0" borderId="15" xfId="87" applyFont="1" applyBorder="1" applyAlignment="1">
      <alignment horizontal="center" vertical="center"/>
    </xf>
    <xf numFmtId="0" fontId="133" fillId="31" borderId="15" xfId="87" applyFont="1" applyFill="1" applyBorder="1" applyAlignment="1">
      <alignment horizontal="center" vertical="center"/>
    </xf>
    <xf numFmtId="0" fontId="133" fillId="27" borderId="15" xfId="87" applyFont="1" applyFill="1" applyBorder="1" applyAlignment="1">
      <alignment horizontal="center" vertical="center"/>
    </xf>
    <xf numFmtId="0" fontId="133" fillId="0" borderId="15" xfId="87" applyFont="1" applyBorder="1" applyAlignment="1">
      <alignment horizontal="center"/>
    </xf>
    <xf numFmtId="0" fontId="133" fillId="0" borderId="49" xfId="87" applyFont="1" applyBorder="1"/>
    <xf numFmtId="0" fontId="133" fillId="0" borderId="14" xfId="87" applyFont="1" applyBorder="1"/>
    <xf numFmtId="0" fontId="133" fillId="0" borderId="14" xfId="87" applyFont="1" applyBorder="1" applyAlignment="1">
      <alignment horizontal="left"/>
    </xf>
    <xf numFmtId="12" fontId="133" fillId="0" borderId="14" xfId="87" applyNumberFormat="1" applyFont="1" applyBorder="1"/>
    <xf numFmtId="0" fontId="133" fillId="0" borderId="14" xfId="87" applyFont="1" applyBorder="1" applyAlignment="1">
      <alignment horizontal="center"/>
    </xf>
    <xf numFmtId="2" fontId="133" fillId="0" borderId="0" xfId="87" applyNumberFormat="1" applyFont="1"/>
    <xf numFmtId="0" fontId="134" fillId="0" borderId="15" xfId="87" applyFont="1" applyBorder="1" applyAlignment="1">
      <alignment vertical="center"/>
    </xf>
    <xf numFmtId="12" fontId="133" fillId="0" borderId="15" xfId="87" applyNumberFormat="1" applyFont="1" applyBorder="1" applyAlignment="1">
      <alignment horizontal="center" vertical="center"/>
    </xf>
    <xf numFmtId="199" fontId="134" fillId="48" borderId="15" xfId="87" applyNumberFormat="1" applyFont="1" applyFill="1" applyBorder="1" applyAlignment="1">
      <alignment vertical="center"/>
    </xf>
    <xf numFmtId="43" fontId="133" fillId="0" borderId="0" xfId="87" applyNumberFormat="1" applyFont="1"/>
    <xf numFmtId="0" fontId="134" fillId="0" borderId="0" xfId="87" applyFont="1" applyAlignment="1">
      <alignment vertical="center"/>
    </xf>
    <xf numFmtId="12" fontId="133" fillId="0" borderId="0" xfId="87" applyNumberFormat="1" applyFont="1" applyAlignment="1">
      <alignment horizontal="center" vertical="center"/>
    </xf>
    <xf numFmtId="199" fontId="138" fillId="48" borderId="15" xfId="87" applyNumberFormat="1" applyFont="1" applyFill="1" applyBorder="1" applyAlignment="1">
      <alignment vertical="center"/>
    </xf>
    <xf numFmtId="189" fontId="134" fillId="48" borderId="15" xfId="87" applyNumberFormat="1" applyFont="1" applyFill="1" applyBorder="1" applyAlignment="1">
      <alignment vertical="center"/>
    </xf>
    <xf numFmtId="0" fontId="134" fillId="0" borderId="51" xfId="87" applyFont="1" applyBorder="1" applyAlignment="1">
      <alignment vertical="center"/>
    </xf>
    <xf numFmtId="0" fontId="134" fillId="0" borderId="34" xfId="87" applyFont="1" applyBorder="1" applyAlignment="1">
      <alignment vertical="center"/>
    </xf>
    <xf numFmtId="0" fontId="134" fillId="0" borderId="14" xfId="87" applyFont="1" applyBorder="1" applyAlignment="1">
      <alignment vertical="center"/>
    </xf>
    <xf numFmtId="12" fontId="133" fillId="0" borderId="14" xfId="87" applyNumberFormat="1" applyFont="1" applyBorder="1" applyAlignment="1">
      <alignment horizontal="center" vertical="center"/>
    </xf>
    <xf numFmtId="0" fontId="134" fillId="0" borderId="61" xfId="87" applyFont="1" applyBorder="1"/>
    <xf numFmtId="0" fontId="133" fillId="0" borderId="61" xfId="87" applyFont="1" applyBorder="1"/>
    <xf numFmtId="0" fontId="134" fillId="0" borderId="38" xfId="87" applyFont="1" applyBorder="1"/>
    <xf numFmtId="0" fontId="133" fillId="0" borderId="48" xfId="87" applyFont="1" applyBorder="1"/>
    <xf numFmtId="0" fontId="134" fillId="0" borderId="0" xfId="87" applyFont="1"/>
    <xf numFmtId="0" fontId="134" fillId="0" borderId="14" xfId="87" applyFont="1" applyBorder="1"/>
    <xf numFmtId="0" fontId="133" fillId="0" borderId="37" xfId="87" applyFont="1" applyBorder="1"/>
    <xf numFmtId="207" fontId="133" fillId="0" borderId="15" xfId="87" applyNumberFormat="1" applyFont="1" applyBorder="1"/>
    <xf numFmtId="203" fontId="133" fillId="0" borderId="15" xfId="87" applyNumberFormat="1" applyFont="1" applyBorder="1"/>
    <xf numFmtId="49" fontId="20" fillId="31" borderId="0" xfId="63" applyNumberFormat="1" applyFont="1" applyFill="1" applyAlignment="1">
      <alignment horizontal="center" vertical="center" wrapText="1"/>
    </xf>
    <xf numFmtId="0" fontId="103" fillId="0" borderId="15" xfId="87" applyFont="1" applyBorder="1" applyAlignment="1">
      <alignment horizontal="center" vertical="center"/>
    </xf>
    <xf numFmtId="0" fontId="14" fillId="0" borderId="0" xfId="87"/>
    <xf numFmtId="0" fontId="139" fillId="49" borderId="21" xfId="87" applyFont="1" applyFill="1" applyBorder="1" applyAlignment="1">
      <alignment horizontal="center"/>
    </xf>
    <xf numFmtId="0" fontId="139" fillId="49" borderId="15" xfId="87" applyFont="1" applyFill="1" applyBorder="1" applyAlignment="1">
      <alignment horizontal="center"/>
    </xf>
    <xf numFmtId="0" fontId="139" fillId="49" borderId="47" xfId="87" applyFont="1" applyFill="1" applyBorder="1" applyAlignment="1">
      <alignment horizontal="center"/>
    </xf>
    <xf numFmtId="0" fontId="139" fillId="49" borderId="19" xfId="87" applyFont="1" applyFill="1" applyBorder="1" applyAlignment="1">
      <alignment horizontal="center"/>
    </xf>
    <xf numFmtId="0" fontId="14" fillId="0" borderId="15" xfId="87" applyBorder="1" applyAlignment="1">
      <alignment horizontal="center" vertical="center"/>
    </xf>
    <xf numFmtId="0" fontId="131" fillId="0" borderId="15" xfId="87" applyFont="1" applyBorder="1" applyAlignment="1">
      <alignment horizontal="center"/>
    </xf>
    <xf numFmtId="2" fontId="131" fillId="0" borderId="15" xfId="87" applyNumberFormat="1" applyFont="1" applyBorder="1"/>
    <xf numFmtId="0" fontId="18" fillId="24" borderId="0" xfId="0" quotePrefix="1" applyFont="1" applyFill="1"/>
    <xf numFmtId="0" fontId="13" fillId="0" borderId="17" xfId="97" applyBorder="1" applyAlignment="1">
      <alignment horizontal="center"/>
    </xf>
    <xf numFmtId="0" fontId="13" fillId="0" borderId="0" xfId="97"/>
    <xf numFmtId="0" fontId="13" fillId="0" borderId="15" xfId="97" applyBorder="1" applyAlignment="1">
      <alignment horizontal="center" vertical="center"/>
    </xf>
    <xf numFmtId="0" fontId="13" fillId="0" borderId="34" xfId="97" applyBorder="1" applyAlignment="1">
      <alignment horizontal="center" vertical="center"/>
    </xf>
    <xf numFmtId="0" fontId="13" fillId="0" borderId="15" xfId="97" applyBorder="1" applyAlignment="1">
      <alignment horizontal="center" wrapText="1"/>
    </xf>
    <xf numFmtId="0" fontId="13" fillId="0" borderId="47" xfId="97" applyBorder="1"/>
    <xf numFmtId="0" fontId="13" fillId="0" borderId="21" xfId="97" applyBorder="1"/>
    <xf numFmtId="0" fontId="13" fillId="0" borderId="15" xfId="97" applyBorder="1"/>
    <xf numFmtId="0" fontId="13" fillId="0" borderId="15" xfId="97" applyBorder="1" applyAlignment="1">
      <alignment horizontal="center"/>
    </xf>
    <xf numFmtId="0" fontId="13" fillId="0" borderId="47" xfId="97" applyBorder="1" applyAlignment="1">
      <alignment horizontal="center"/>
    </xf>
    <xf numFmtId="0" fontId="13" fillId="0" borderId="51" xfId="97" applyBorder="1"/>
    <xf numFmtId="0" fontId="13" fillId="0" borderId="17" xfId="97" applyBorder="1"/>
    <xf numFmtId="0" fontId="13" fillId="0" borderId="34" xfId="97" applyBorder="1" applyAlignment="1">
      <alignment horizontal="right"/>
    </xf>
    <xf numFmtId="0" fontId="13" fillId="0" borderId="34" xfId="97" applyBorder="1"/>
    <xf numFmtId="0" fontId="18" fillId="0" borderId="0" xfId="97" applyFont="1"/>
    <xf numFmtId="0" fontId="13" fillId="0" borderId="0" xfId="97" applyAlignment="1">
      <alignment vertical="center"/>
    </xf>
    <xf numFmtId="166" fontId="18" fillId="0" borderId="0" xfId="97" applyNumberFormat="1" applyFont="1" applyAlignment="1">
      <alignment horizontal="center" vertical="center"/>
    </xf>
    <xf numFmtId="166" fontId="13" fillId="0" borderId="0" xfId="97" applyNumberFormat="1" applyAlignment="1">
      <alignment horizontal="center" vertical="center"/>
    </xf>
    <xf numFmtId="0" fontId="103" fillId="0" borderId="0" xfId="97" applyFont="1"/>
    <xf numFmtId="166" fontId="103" fillId="0" borderId="0" xfId="97" applyNumberFormat="1" applyFont="1"/>
    <xf numFmtId="166" fontId="0" fillId="0" borderId="14" xfId="0" applyNumberFormat="1" applyBorder="1"/>
    <xf numFmtId="14" fontId="79" fillId="0" borderId="0" xfId="87" applyNumberFormat="1" applyFont="1"/>
    <xf numFmtId="168" fontId="18" fillId="27" borderId="15" xfId="0" applyNumberFormat="1" applyFont="1" applyFill="1" applyBorder="1" applyAlignment="1" applyProtection="1">
      <alignment horizontal="center" vertical="center"/>
      <protection locked="0"/>
    </xf>
    <xf numFmtId="0" fontId="18" fillId="27" borderId="0" xfId="0" applyFont="1" applyFill="1" applyProtection="1">
      <protection locked="0"/>
    </xf>
    <xf numFmtId="0" fontId="73" fillId="0" borderId="0" xfId="63" applyFont="1" applyAlignment="1">
      <alignment vertical="center" wrapText="1"/>
    </xf>
    <xf numFmtId="178" fontId="23" fillId="0" borderId="0" xfId="61" applyFont="1" applyAlignment="1" applyProtection="1">
      <alignment vertical="center" wrapText="1"/>
      <protection hidden="1"/>
    </xf>
    <xf numFmtId="178" fontId="26" fillId="0" borderId="0" xfId="61" applyFont="1" applyAlignment="1" applyProtection="1">
      <alignment vertical="center" wrapText="1"/>
      <protection hidden="1"/>
    </xf>
    <xf numFmtId="0" fontId="18" fillId="0" borderId="0" xfId="62" applyNumberFormat="1" applyAlignment="1" applyProtection="1">
      <alignment vertical="center" wrapText="1"/>
      <protection hidden="1"/>
    </xf>
    <xf numFmtId="179" fontId="23" fillId="0" borderId="0" xfId="61" applyNumberFormat="1" applyFont="1" applyAlignment="1" applyProtection="1">
      <alignment vertical="center" wrapText="1"/>
      <protection hidden="1"/>
    </xf>
    <xf numFmtId="178" fontId="23" fillId="0" borderId="0" xfId="61" applyFont="1" applyAlignment="1" applyProtection="1">
      <alignment vertical="center"/>
      <protection hidden="1"/>
    </xf>
    <xf numFmtId="0" fontId="89" fillId="0" borderId="0" xfId="80" applyFont="1" applyAlignment="1" applyProtection="1">
      <alignment vertical="center" wrapText="1"/>
      <protection hidden="1"/>
    </xf>
    <xf numFmtId="49" fontId="101" fillId="0" borderId="0" xfId="80" applyNumberFormat="1" applyFont="1" applyAlignment="1" applyProtection="1">
      <alignment vertical="center" wrapText="1"/>
      <protection hidden="1"/>
    </xf>
    <xf numFmtId="0" fontId="101" fillId="0" borderId="0" xfId="80" applyFont="1" applyAlignment="1" applyProtection="1">
      <alignment vertical="center" wrapText="1"/>
      <protection hidden="1"/>
    </xf>
    <xf numFmtId="49" fontId="79" fillId="0" borderId="0" xfId="80" applyNumberFormat="1" applyFont="1" applyAlignment="1" applyProtection="1">
      <alignment vertical="center" wrapText="1"/>
      <protection hidden="1"/>
    </xf>
    <xf numFmtId="0" fontId="79" fillId="0" borderId="0" xfId="80" applyFont="1" applyAlignment="1" applyProtection="1">
      <alignment vertical="center" wrapText="1"/>
      <protection hidden="1"/>
    </xf>
    <xf numFmtId="179" fontId="18" fillId="0" borderId="0" xfId="63" applyNumberFormat="1" applyAlignment="1" applyProtection="1">
      <alignment vertical="center" wrapText="1"/>
      <protection hidden="1"/>
    </xf>
    <xf numFmtId="179" fontId="25" fillId="0" borderId="0" xfId="63" applyNumberFormat="1" applyFont="1" applyAlignment="1" applyProtection="1">
      <alignment vertical="center" wrapText="1"/>
      <protection hidden="1"/>
    </xf>
    <xf numFmtId="0" fontId="20" fillId="0" borderId="0" xfId="63" applyFont="1" applyAlignment="1">
      <alignment vertical="center" wrapText="1"/>
    </xf>
    <xf numFmtId="49" fontId="67" fillId="0" borderId="0" xfId="63" applyNumberFormat="1" applyFont="1" applyAlignment="1">
      <alignment vertical="center" wrapText="1"/>
    </xf>
    <xf numFmtId="49" fontId="73" fillId="0" borderId="0" xfId="63" applyNumberFormat="1" applyFont="1" applyAlignment="1">
      <alignment vertical="center" wrapText="1"/>
    </xf>
    <xf numFmtId="179" fontId="73" fillId="0" borderId="0" xfId="63" applyNumberFormat="1" applyFont="1" applyAlignment="1">
      <alignment vertical="center" wrapText="1"/>
    </xf>
    <xf numFmtId="14" fontId="73" fillId="0" borderId="0" xfId="63" applyNumberFormat="1" applyFont="1" applyAlignment="1">
      <alignment vertical="center" wrapText="1"/>
    </xf>
    <xf numFmtId="0" fontId="81" fillId="0" borderId="0" xfId="80" applyFont="1" applyAlignment="1">
      <alignment vertical="center" wrapText="1"/>
    </xf>
    <xf numFmtId="49" fontId="101" fillId="0" borderId="0" xfId="80" applyNumberFormat="1" applyFont="1" applyAlignment="1">
      <alignment vertical="center" wrapText="1"/>
    </xf>
    <xf numFmtId="0" fontId="101" fillId="0" borderId="0" xfId="80" applyFont="1" applyAlignment="1">
      <alignment vertical="center" wrapText="1"/>
    </xf>
    <xf numFmtId="49" fontId="79" fillId="0" borderId="0" xfId="80" applyNumberFormat="1" applyFont="1" applyAlignment="1">
      <alignment vertical="center" wrapText="1"/>
    </xf>
    <xf numFmtId="179" fontId="18" fillId="0" borderId="0" xfId="63" applyNumberFormat="1" applyAlignment="1">
      <alignment vertical="center" wrapText="1"/>
    </xf>
    <xf numFmtId="49" fontId="25" fillId="0" borderId="0" xfId="63" applyNumberFormat="1" applyFont="1" applyAlignment="1">
      <alignment vertical="center" wrapText="1"/>
    </xf>
    <xf numFmtId="0" fontId="25" fillId="0" borderId="0" xfId="63" applyFont="1" applyAlignment="1">
      <alignment vertical="center" wrapText="1"/>
    </xf>
    <xf numFmtId="0" fontId="30" fillId="0" borderId="0" xfId="63" applyFont="1" applyAlignment="1">
      <alignment vertical="center" wrapText="1"/>
    </xf>
    <xf numFmtId="49" fontId="20" fillId="0" borderId="0" xfId="63" applyNumberFormat="1" applyFont="1" applyAlignment="1">
      <alignment vertical="center" wrapText="1"/>
    </xf>
    <xf numFmtId="0" fontId="18" fillId="0" borderId="0" xfId="0" applyFont="1" applyAlignment="1" applyProtection="1">
      <alignment vertical="center"/>
      <protection locked="0"/>
    </xf>
    <xf numFmtId="49" fontId="20" fillId="31" borderId="0" xfId="63" applyNumberFormat="1" applyFont="1" applyFill="1" applyAlignment="1">
      <alignment vertical="center" wrapText="1"/>
    </xf>
    <xf numFmtId="0" fontId="0" fillId="27" borderId="15" xfId="0" applyFill="1" applyBorder="1" applyAlignment="1">
      <alignment horizontal="right"/>
    </xf>
    <xf numFmtId="173" fontId="0" fillId="27" borderId="15" xfId="0" applyNumberFormat="1" applyFill="1" applyBorder="1" applyAlignment="1">
      <alignment horizontal="right"/>
    </xf>
    <xf numFmtId="172" fontId="18" fillId="27" borderId="15" xfId="0" applyNumberFormat="1" applyFont="1" applyFill="1" applyBorder="1" applyAlignment="1">
      <alignment horizontal="right"/>
    </xf>
    <xf numFmtId="2" fontId="18" fillId="27" borderId="19" xfId="0" applyNumberFormat="1" applyFont="1" applyFill="1" applyBorder="1" applyAlignment="1">
      <alignment horizontal="center"/>
    </xf>
    <xf numFmtId="2" fontId="18" fillId="27" borderId="15" xfId="0" applyNumberFormat="1" applyFont="1" applyFill="1" applyBorder="1" applyAlignment="1">
      <alignment horizontal="center"/>
    </xf>
    <xf numFmtId="0" fontId="18" fillId="27" borderId="0" xfId="0" applyFont="1" applyFill="1"/>
    <xf numFmtId="166" fontId="18" fillId="27" borderId="15" xfId="0" applyNumberFormat="1" applyFont="1" applyFill="1" applyBorder="1" applyAlignment="1">
      <alignment horizontal="center" vertical="center"/>
    </xf>
    <xf numFmtId="0" fontId="0" fillId="36" borderId="15" xfId="0" applyFill="1" applyBorder="1" applyAlignment="1">
      <alignment horizontal="right"/>
    </xf>
    <xf numFmtId="178" fontId="60" fillId="27" borderId="0" xfId="61" applyFont="1" applyFill="1" applyAlignment="1" applyProtection="1">
      <alignment vertical="center"/>
      <protection hidden="1"/>
    </xf>
    <xf numFmtId="178" fontId="26" fillId="27" borderId="0" xfId="61" applyFont="1" applyFill="1" applyAlignment="1" applyProtection="1">
      <alignment vertical="center" wrapText="1"/>
      <protection hidden="1"/>
    </xf>
    <xf numFmtId="1" fontId="126" fillId="27" borderId="0" xfId="61" applyNumberFormat="1" applyFont="1" applyFill="1" applyAlignment="1" applyProtection="1">
      <alignment horizontal="center" vertical="center"/>
      <protection locked="0"/>
    </xf>
    <xf numFmtId="178" fontId="60" fillId="27" borderId="0" xfId="61" applyFont="1" applyFill="1" applyAlignment="1" applyProtection="1">
      <alignment vertical="center"/>
      <protection locked="0" hidden="1"/>
    </xf>
    <xf numFmtId="1" fontId="21" fillId="27" borderId="0" xfId="61" applyNumberFormat="1" applyFont="1" applyFill="1" applyAlignment="1" applyProtection="1">
      <alignment horizontal="center" vertical="center"/>
      <protection locked="0"/>
    </xf>
    <xf numFmtId="178" fontId="26" fillId="27" borderId="15" xfId="61" applyFont="1" applyFill="1" applyBorder="1" applyAlignment="1" applyProtection="1">
      <alignment horizontal="center" vertical="center"/>
      <protection locked="0"/>
    </xf>
    <xf numFmtId="167" fontId="60" fillId="27" borderId="34" xfId="0" applyNumberFormat="1" applyFont="1" applyFill="1" applyBorder="1" applyAlignment="1" applyProtection="1">
      <alignment vertical="center"/>
      <protection locked="0"/>
    </xf>
    <xf numFmtId="167" fontId="60" fillId="27" borderId="61" xfId="0" applyNumberFormat="1" applyFont="1" applyFill="1" applyBorder="1" applyAlignment="1" applyProtection="1">
      <alignment vertical="center" wrapText="1"/>
      <protection locked="0"/>
    </xf>
    <xf numFmtId="178" fontId="60" fillId="27" borderId="0" xfId="61" applyFont="1" applyFill="1" applyAlignment="1" applyProtection="1">
      <alignment vertical="center"/>
      <protection locked="0"/>
    </xf>
    <xf numFmtId="9" fontId="18" fillId="0" borderId="0" xfId="51" applyFont="1" applyAlignment="1">
      <alignment horizontal="center"/>
    </xf>
    <xf numFmtId="9" fontId="18" fillId="0" borderId="0" xfId="51" applyFont="1"/>
    <xf numFmtId="0" fontId="145" fillId="0" borderId="0" xfId="99" applyProtection="1">
      <protection locked="0"/>
    </xf>
    <xf numFmtId="167" fontId="61" fillId="0" borderId="0" xfId="0" applyNumberFormat="1" applyFont="1" applyAlignment="1" applyProtection="1">
      <alignment horizontal="center" vertical="center"/>
      <protection locked="0"/>
    </xf>
    <xf numFmtId="0" fontId="25" fillId="0" borderId="0" xfId="0" applyFont="1" applyAlignment="1" applyProtection="1">
      <alignment horizontal="center" vertical="center"/>
      <protection locked="0"/>
    </xf>
    <xf numFmtId="178" fontId="26" fillId="27" borderId="34" xfId="61" applyFont="1" applyFill="1" applyBorder="1" applyAlignment="1" applyProtection="1">
      <alignment horizontal="center" vertical="center"/>
      <protection locked="0"/>
    </xf>
    <xf numFmtId="168" fontId="18" fillId="27" borderId="34" xfId="0" applyNumberFormat="1" applyFont="1" applyFill="1" applyBorder="1" applyAlignment="1" applyProtection="1">
      <alignment horizontal="center" vertical="center"/>
      <protection locked="0"/>
    </xf>
    <xf numFmtId="167" fontId="61" fillId="0" borderId="17" xfId="80" applyNumberFormat="1" applyFont="1" applyBorder="1" applyAlignment="1" applyProtection="1">
      <alignment horizontal="center" vertical="center"/>
      <protection locked="0"/>
    </xf>
    <xf numFmtId="49" fontId="144" fillId="31" borderId="0" xfId="63" applyNumberFormat="1" applyFont="1" applyFill="1" applyAlignment="1">
      <alignment horizontal="center" vertical="center" wrapText="1"/>
    </xf>
    <xf numFmtId="0" fontId="144" fillId="0" borderId="0" xfId="89" applyFont="1" applyAlignment="1">
      <alignment horizontal="center" vertical="center"/>
    </xf>
    <xf numFmtId="179" fontId="144" fillId="0" borderId="0" xfId="89" applyNumberFormat="1" applyFont="1" applyAlignment="1">
      <alignment horizontal="center" vertical="center"/>
    </xf>
    <xf numFmtId="14" fontId="144" fillId="0" borderId="0" xfId="89" applyNumberFormat="1" applyFont="1" applyAlignment="1">
      <alignment horizontal="center" vertical="center"/>
    </xf>
    <xf numFmtId="49" fontId="144" fillId="31" borderId="0" xfId="63" applyNumberFormat="1" applyFont="1" applyFill="1" applyAlignment="1">
      <alignment vertical="center" wrapText="1"/>
    </xf>
    <xf numFmtId="167" fontId="153" fillId="0" borderId="83" xfId="0" applyNumberFormat="1" applyFont="1" applyBorder="1" applyAlignment="1" applyProtection="1">
      <alignment horizontal="center" vertical="center"/>
      <protection locked="0"/>
    </xf>
    <xf numFmtId="0" fontId="154" fillId="0" borderId="83" xfId="0" applyFont="1" applyBorder="1" applyAlignment="1" applyProtection="1">
      <alignment horizontal="center" vertical="center" wrapText="1"/>
      <protection locked="0"/>
    </xf>
    <xf numFmtId="0" fontId="154" fillId="0" borderId="83" xfId="65" applyFont="1" applyBorder="1" applyAlignment="1" applyProtection="1">
      <alignment horizontal="center" vertical="center" wrapText="1"/>
      <protection locked="0"/>
    </xf>
    <xf numFmtId="167" fontId="149" fillId="0" borderId="83" xfId="0" applyNumberFormat="1" applyFont="1" applyBorder="1" applyAlignment="1" applyProtection="1">
      <alignment vertical="center" textRotation="90" wrapText="1"/>
      <protection locked="0"/>
    </xf>
    <xf numFmtId="0" fontId="153" fillId="0" borderId="83" xfId="0" applyFont="1" applyBorder="1" applyAlignment="1" applyProtection="1">
      <alignment horizontal="center" vertical="center"/>
      <protection locked="0"/>
    </xf>
    <xf numFmtId="168" fontId="154" fillId="0" borderId="83" xfId="0" applyNumberFormat="1" applyFont="1" applyBorder="1" applyAlignment="1" applyProtection="1">
      <alignment horizontal="center" vertical="center"/>
      <protection locked="0"/>
    </xf>
    <xf numFmtId="168" fontId="154" fillId="27" borderId="83" xfId="0" applyNumberFormat="1" applyFont="1" applyFill="1" applyBorder="1" applyAlignment="1" applyProtection="1">
      <alignment horizontal="center" vertical="center"/>
      <protection locked="0"/>
    </xf>
    <xf numFmtId="168" fontId="154" fillId="27" borderId="83" xfId="0" applyNumberFormat="1" applyFont="1" applyFill="1" applyBorder="1" applyAlignment="1" applyProtection="1">
      <alignment horizontal="center" vertical="center" wrapText="1"/>
      <protection locked="0"/>
    </xf>
    <xf numFmtId="167" fontId="153" fillId="0" borderId="80" xfId="0" applyNumberFormat="1" applyFont="1" applyBorder="1" applyAlignment="1" applyProtection="1">
      <alignment horizontal="center" vertical="center"/>
      <protection locked="0"/>
    </xf>
    <xf numFmtId="167" fontId="149" fillId="0" borderId="80" xfId="0" applyNumberFormat="1" applyFont="1" applyBorder="1" applyAlignment="1" applyProtection="1">
      <alignment vertical="center" textRotation="90" wrapText="1"/>
      <protection locked="0"/>
    </xf>
    <xf numFmtId="0" fontId="153" fillId="0" borderId="80" xfId="0" applyFont="1" applyBorder="1" applyAlignment="1" applyProtection="1">
      <alignment horizontal="center" vertical="center"/>
      <protection locked="0"/>
    </xf>
    <xf numFmtId="168" fontId="154" fillId="0" borderId="80" xfId="0" applyNumberFormat="1" applyFont="1" applyBorder="1" applyAlignment="1" applyProtection="1">
      <alignment horizontal="center" vertical="center"/>
      <protection locked="0"/>
    </xf>
    <xf numFmtId="168" fontId="154" fillId="27" borderId="80" xfId="0" applyNumberFormat="1" applyFont="1" applyFill="1" applyBorder="1" applyAlignment="1" applyProtection="1">
      <alignment horizontal="center" vertical="center"/>
      <protection locked="0"/>
    </xf>
    <xf numFmtId="168" fontId="154" fillId="27" borderId="80" xfId="0" applyNumberFormat="1" applyFont="1" applyFill="1" applyBorder="1" applyAlignment="1" applyProtection="1">
      <alignment horizontal="center" vertical="center" wrapText="1"/>
      <protection locked="0"/>
    </xf>
    <xf numFmtId="2" fontId="144" fillId="31" borderId="0" xfId="63" applyNumberFormat="1" applyFont="1" applyFill="1" applyAlignment="1">
      <alignment horizontal="left" vertical="center" wrapText="1"/>
    </xf>
    <xf numFmtId="0" fontId="155" fillId="0" borderId="0" xfId="80" applyFont="1" applyAlignment="1" applyProtection="1">
      <alignment vertical="center" wrapText="1"/>
      <protection locked="0"/>
    </xf>
    <xf numFmtId="0" fontId="156" fillId="0" borderId="0" xfId="80" applyFont="1" applyProtection="1">
      <protection locked="0"/>
    </xf>
    <xf numFmtId="167" fontId="149" fillId="0" borderId="0" xfId="80" applyNumberFormat="1" applyFont="1" applyAlignment="1" applyProtection="1">
      <alignment horizontal="center" vertical="center"/>
      <protection locked="0"/>
    </xf>
    <xf numFmtId="0" fontId="156" fillId="0" borderId="0" xfId="80" applyFont="1" applyAlignment="1" applyProtection="1">
      <alignment horizontal="center" vertical="center"/>
      <protection locked="0"/>
    </xf>
    <xf numFmtId="167" fontId="149" fillId="0" borderId="0" xfId="80" applyNumberFormat="1" applyFont="1" applyAlignment="1" applyProtection="1">
      <alignment vertical="center"/>
      <protection locked="0"/>
    </xf>
    <xf numFmtId="188" fontId="149" fillId="0" borderId="0" xfId="80" applyNumberFormat="1" applyFont="1" applyAlignment="1" applyProtection="1">
      <alignment horizontal="center" vertical="center"/>
      <protection locked="0"/>
    </xf>
    <xf numFmtId="189" fontId="156" fillId="0" borderId="0" xfId="80" applyNumberFormat="1" applyFont="1" applyAlignment="1" applyProtection="1">
      <alignment horizontal="center" vertical="center" wrapText="1"/>
      <protection locked="0"/>
    </xf>
    <xf numFmtId="188" fontId="149" fillId="0" borderId="29" xfId="80" applyNumberFormat="1" applyFont="1" applyBorder="1" applyAlignment="1" applyProtection="1">
      <alignment horizontal="center" vertical="center"/>
      <protection locked="0"/>
    </xf>
    <xf numFmtId="167" fontId="154" fillId="0" borderId="83" xfId="80" applyNumberFormat="1" applyFont="1" applyBorder="1" applyAlignment="1" applyProtection="1">
      <alignment horizontal="center" vertical="center" wrapText="1"/>
      <protection locked="0"/>
    </xf>
    <xf numFmtId="189" fontId="154" fillId="0" borderId="0" xfId="80" applyNumberFormat="1" applyFont="1" applyAlignment="1" applyProtection="1">
      <alignment horizontal="center" vertical="center" wrapText="1"/>
      <protection locked="0"/>
    </xf>
    <xf numFmtId="167" fontId="154" fillId="0" borderId="79" xfId="80" applyNumberFormat="1" applyFont="1" applyBorder="1" applyAlignment="1" applyProtection="1">
      <alignment horizontal="center" vertical="center" wrapText="1"/>
      <protection locked="0"/>
    </xf>
    <xf numFmtId="167" fontId="154" fillId="0" borderId="80" xfId="80" applyNumberFormat="1" applyFont="1" applyBorder="1" applyAlignment="1" applyProtection="1">
      <alignment horizontal="center" vertical="center" wrapText="1"/>
      <protection locked="0"/>
    </xf>
    <xf numFmtId="167" fontId="149" fillId="0" borderId="48" xfId="80" applyNumberFormat="1" applyFont="1" applyBorder="1" applyAlignment="1" applyProtection="1">
      <alignment horizontal="center" vertical="center"/>
      <protection locked="0"/>
    </xf>
    <xf numFmtId="189" fontId="156" fillId="0" borderId="79" xfId="80" applyNumberFormat="1" applyFont="1" applyBorder="1" applyAlignment="1" applyProtection="1">
      <alignment horizontal="center" vertical="center" wrapText="1"/>
      <protection locked="0"/>
    </xf>
    <xf numFmtId="189" fontId="156" fillId="0" borderId="80" xfId="80" applyNumberFormat="1" applyFont="1" applyBorder="1" applyAlignment="1" applyProtection="1">
      <alignment horizontal="center" vertical="center" wrapText="1"/>
      <protection locked="0"/>
    </xf>
    <xf numFmtId="189" fontId="156" fillId="0" borderId="81" xfId="80" applyNumberFormat="1" applyFont="1" applyBorder="1" applyAlignment="1" applyProtection="1">
      <alignment horizontal="center" vertical="center" wrapText="1"/>
      <protection locked="0"/>
    </xf>
    <xf numFmtId="189" fontId="156" fillId="0" borderId="14" xfId="80" applyNumberFormat="1" applyFont="1" applyBorder="1" applyAlignment="1" applyProtection="1">
      <alignment horizontal="center" vertical="center" wrapText="1"/>
      <protection locked="0"/>
    </xf>
    <xf numFmtId="0" fontId="156" fillId="0" borderId="0" xfId="80" applyFont="1" applyAlignment="1" applyProtection="1">
      <alignment vertical="center" wrapText="1"/>
      <protection locked="0"/>
    </xf>
    <xf numFmtId="167" fontId="153" fillId="0" borderId="83" xfId="80" applyNumberFormat="1" applyFont="1" applyBorder="1" applyAlignment="1" applyProtection="1">
      <alignment horizontal="center" vertical="center" wrapText="1"/>
      <protection locked="0"/>
    </xf>
    <xf numFmtId="167" fontId="153" fillId="0" borderId="48" xfId="80" applyNumberFormat="1" applyFont="1" applyBorder="1" applyAlignment="1" applyProtection="1">
      <alignment horizontal="center" vertical="center" wrapText="1"/>
      <protection locked="0"/>
    </xf>
    <xf numFmtId="0" fontId="154" fillId="0" borderId="0" xfId="80" applyFont="1" applyAlignment="1" applyProtection="1">
      <alignment horizontal="center" vertical="center" wrapText="1" shrinkToFit="1"/>
      <protection locked="0"/>
    </xf>
    <xf numFmtId="0" fontId="154" fillId="0" borderId="0" xfId="65" applyFont="1" applyAlignment="1" applyProtection="1">
      <alignment horizontal="center" vertical="center" wrapText="1" shrinkToFit="1"/>
      <protection locked="0"/>
    </xf>
    <xf numFmtId="166" fontId="156" fillId="0" borderId="0" xfId="80" applyNumberFormat="1" applyFont="1" applyAlignment="1" applyProtection="1">
      <alignment vertical="center" wrapText="1"/>
      <protection locked="0"/>
    </xf>
    <xf numFmtId="0" fontId="156" fillId="0" borderId="0" xfId="80" applyFont="1" applyAlignment="1" applyProtection="1">
      <alignment horizontal="center" vertical="center" wrapText="1"/>
      <protection locked="0"/>
    </xf>
    <xf numFmtId="173" fontId="156" fillId="0" borderId="0" xfId="80" applyNumberFormat="1" applyFont="1" applyAlignment="1" applyProtection="1">
      <alignment horizontal="center" vertical="center" wrapText="1"/>
      <protection locked="0"/>
    </xf>
    <xf numFmtId="9" fontId="156" fillId="0" borderId="0" xfId="80" applyNumberFormat="1" applyFont="1" applyAlignment="1" applyProtection="1">
      <alignment horizontal="center" vertical="center" wrapText="1"/>
      <protection locked="0"/>
    </xf>
    <xf numFmtId="0" fontId="154" fillId="0" borderId="0" xfId="65" applyFont="1" applyAlignment="1" applyProtection="1">
      <alignment horizontal="center" vertical="center" wrapText="1"/>
      <protection locked="0"/>
    </xf>
    <xf numFmtId="1" fontId="154" fillId="0" borderId="0" xfId="80" applyNumberFormat="1" applyFont="1" applyAlignment="1" applyProtection="1">
      <alignment horizontal="center" vertical="center"/>
      <protection locked="0"/>
    </xf>
    <xf numFmtId="2" fontId="156" fillId="0" borderId="0" xfId="80" applyNumberFormat="1" applyFont="1" applyAlignment="1" applyProtection="1">
      <alignment horizontal="center" vertical="center" wrapText="1"/>
      <protection locked="0"/>
    </xf>
    <xf numFmtId="2" fontId="155" fillId="0" borderId="79" xfId="80" applyNumberFormat="1" applyFont="1" applyBorder="1" applyAlignment="1" applyProtection="1">
      <alignment horizontal="center" vertical="center" wrapText="1"/>
      <protection locked="0"/>
    </xf>
    <xf numFmtId="0" fontId="156" fillId="0" borderId="0" xfId="87" applyFont="1" applyAlignment="1">
      <alignment horizontal="center" vertical="center"/>
    </xf>
    <xf numFmtId="0" fontId="156" fillId="0" borderId="0" xfId="87" applyFont="1" applyAlignment="1">
      <alignment horizontal="center" vertical="center" wrapText="1"/>
    </xf>
    <xf numFmtId="2" fontId="156" fillId="0" borderId="0" xfId="87" applyNumberFormat="1" applyFont="1" applyAlignment="1">
      <alignment horizontal="center" vertical="center"/>
    </xf>
    <xf numFmtId="9" fontId="156" fillId="0" borderId="0" xfId="91" applyFont="1" applyBorder="1" applyAlignment="1">
      <alignment horizontal="center" vertical="center"/>
    </xf>
    <xf numFmtId="172" fontId="156" fillId="0" borderId="0" xfId="87" applyNumberFormat="1" applyFont="1" applyAlignment="1">
      <alignment horizontal="center" vertical="center"/>
    </xf>
    <xf numFmtId="0" fontId="155" fillId="0" borderId="0" xfId="87" applyFont="1" applyAlignment="1">
      <alignment horizontal="left" vertical="top" wrapText="1"/>
    </xf>
    <xf numFmtId="0" fontId="155" fillId="0" borderId="0" xfId="87" applyFont="1" applyAlignment="1">
      <alignment horizontal="center" vertical="center"/>
    </xf>
    <xf numFmtId="0" fontId="155" fillId="0" borderId="48" xfId="87" applyFont="1" applyBorder="1" applyAlignment="1">
      <alignment horizontal="left" vertical="center"/>
    </xf>
    <xf numFmtId="0" fontId="155" fillId="0" borderId="0" xfId="87" applyFont="1" applyAlignment="1">
      <alignment horizontal="left" vertical="center"/>
    </xf>
    <xf numFmtId="10" fontId="155" fillId="0" borderId="0" xfId="91" applyNumberFormat="1" applyFont="1" applyBorder="1" applyAlignment="1">
      <alignment horizontal="center" vertical="center"/>
    </xf>
    <xf numFmtId="0" fontId="156" fillId="0" borderId="15" xfId="87" applyFont="1" applyBorder="1" applyAlignment="1">
      <alignment horizontal="center" vertical="center"/>
    </xf>
    <xf numFmtId="199" fontId="155" fillId="0" borderId="15" xfId="87" applyNumberFormat="1" applyFont="1" applyBorder="1" applyAlignment="1">
      <alignment vertical="center"/>
    </xf>
    <xf numFmtId="200" fontId="155" fillId="0" borderId="15" xfId="87" applyNumberFormat="1" applyFont="1" applyBorder="1" applyAlignment="1">
      <alignment vertical="center"/>
    </xf>
    <xf numFmtId="198" fontId="155" fillId="0" borderId="15" xfId="87" applyNumberFormat="1" applyFont="1" applyBorder="1" applyAlignment="1">
      <alignment vertical="center"/>
    </xf>
    <xf numFmtId="2" fontId="155" fillId="0" borderId="15" xfId="87" applyNumberFormat="1" applyFont="1" applyBorder="1" applyAlignment="1">
      <alignment vertical="center"/>
    </xf>
    <xf numFmtId="10" fontId="155" fillId="0" borderId="0" xfId="91" applyNumberFormat="1" applyFont="1" applyFill="1" applyBorder="1" applyAlignment="1">
      <alignment horizontal="center" vertical="center"/>
    </xf>
    <xf numFmtId="178" fontId="153" fillId="0" borderId="0" xfId="90" applyFont="1" applyAlignment="1">
      <alignment horizontal="left" vertical="center" wrapText="1"/>
    </xf>
    <xf numFmtId="166" fontId="153" fillId="0" borderId="0" xfId="90" applyNumberFormat="1" applyFont="1" applyAlignment="1">
      <alignment vertical="center"/>
    </xf>
    <xf numFmtId="1" fontId="153" fillId="0" borderId="0" xfId="90" applyNumberFormat="1" applyFont="1" applyAlignment="1">
      <alignment vertical="center"/>
    </xf>
    <xf numFmtId="178" fontId="153" fillId="31" borderId="0" xfId="90" applyFont="1" applyFill="1" applyAlignment="1">
      <alignment horizontal="left" vertical="center" wrapText="1"/>
    </xf>
    <xf numFmtId="0" fontId="156" fillId="0" borderId="0" xfId="87" applyFont="1"/>
    <xf numFmtId="166" fontId="153" fillId="31" borderId="0" xfId="90" applyNumberFormat="1" applyFont="1" applyFill="1" applyAlignment="1">
      <alignment vertical="center"/>
    </xf>
    <xf numFmtId="1" fontId="153" fillId="31" borderId="0" xfId="90" applyNumberFormat="1" applyFont="1" applyFill="1" applyAlignment="1">
      <alignment vertical="center"/>
    </xf>
    <xf numFmtId="178" fontId="150" fillId="0" borderId="0" xfId="90" applyFont="1" applyAlignment="1">
      <alignment horizontal="left" vertical="center" wrapText="1"/>
    </xf>
    <xf numFmtId="167" fontId="157" fillId="0" borderId="15" xfId="0" applyNumberFormat="1" applyFont="1" applyBorder="1" applyAlignment="1" applyProtection="1">
      <alignment horizontal="center" vertical="center"/>
      <protection locked="0"/>
    </xf>
    <xf numFmtId="167" fontId="170" fillId="0" borderId="34" xfId="0" applyNumberFormat="1" applyFont="1" applyBorder="1" applyAlignment="1" applyProtection="1">
      <alignment vertical="center" wrapText="1"/>
      <protection locked="0"/>
    </xf>
    <xf numFmtId="167" fontId="170" fillId="0" borderId="15" xfId="0" applyNumberFormat="1" applyFont="1" applyBorder="1" applyAlignment="1" applyProtection="1">
      <alignment vertical="center" wrapText="1"/>
      <protection locked="0"/>
    </xf>
    <xf numFmtId="0" fontId="162" fillId="0" borderId="0" xfId="0" applyFont="1" applyProtection="1">
      <protection locked="0" hidden="1"/>
    </xf>
    <xf numFmtId="167" fontId="162" fillId="0" borderId="15" xfId="0" applyNumberFormat="1" applyFont="1" applyBorder="1" applyAlignment="1" applyProtection="1">
      <alignment horizontal="center" vertical="center"/>
      <protection locked="0" hidden="1"/>
    </xf>
    <xf numFmtId="167" fontId="149" fillId="0" borderId="15" xfId="0" applyNumberFormat="1" applyFont="1" applyBorder="1" applyAlignment="1" applyProtection="1">
      <alignment horizontal="center" vertical="center" wrapText="1"/>
      <protection locked="0"/>
    </xf>
    <xf numFmtId="167" fontId="170" fillId="0" borderId="61" xfId="0" applyNumberFormat="1" applyFont="1" applyBorder="1" applyAlignment="1" applyProtection="1">
      <alignment vertical="center" wrapText="1"/>
      <protection locked="0"/>
    </xf>
    <xf numFmtId="167" fontId="158" fillId="0" borderId="18" xfId="0" applyNumberFormat="1" applyFont="1" applyBorder="1" applyAlignment="1" applyProtection="1">
      <alignment vertical="center"/>
      <protection locked="0" hidden="1"/>
    </xf>
    <xf numFmtId="167" fontId="172" fillId="0" borderId="83" xfId="0" applyNumberFormat="1" applyFont="1" applyBorder="1" applyAlignment="1" applyProtection="1">
      <alignment horizontal="center" vertical="center"/>
      <protection locked="0"/>
    </xf>
    <xf numFmtId="0" fontId="162" fillId="0" borderId="83" xfId="0" applyFont="1" applyBorder="1" applyAlignment="1" applyProtection="1">
      <alignment horizontal="center" vertical="center" wrapText="1" shrinkToFit="1"/>
      <protection locked="0"/>
    </xf>
    <xf numFmtId="1" fontId="162" fillId="0" borderId="83" xfId="0" applyNumberFormat="1" applyFont="1" applyBorder="1" applyAlignment="1" applyProtection="1">
      <alignment horizontal="center" vertical="center"/>
      <protection locked="0"/>
    </xf>
    <xf numFmtId="168" fontId="162" fillId="0" borderId="83" xfId="0" applyNumberFormat="1" applyFont="1" applyBorder="1" applyAlignment="1" applyProtection="1">
      <alignment horizontal="center" vertical="center"/>
      <protection locked="0"/>
    </xf>
    <xf numFmtId="2" fontId="162" fillId="0" borderId="83" xfId="0" applyNumberFormat="1" applyFont="1" applyBorder="1" applyAlignment="1" applyProtection="1">
      <alignment horizontal="center" vertical="center" wrapText="1"/>
      <protection locked="0"/>
    </xf>
    <xf numFmtId="1" fontId="162" fillId="0" borderId="34" xfId="0" applyNumberFormat="1" applyFont="1" applyBorder="1" applyAlignment="1" applyProtection="1">
      <alignment horizontal="center" vertical="center"/>
      <protection locked="0"/>
    </xf>
    <xf numFmtId="1" fontId="162" fillId="0" borderId="15" xfId="0" applyNumberFormat="1" applyFont="1" applyBorder="1" applyAlignment="1" applyProtection="1">
      <alignment horizontal="center" vertical="center"/>
      <protection locked="0"/>
    </xf>
    <xf numFmtId="0" fontId="162" fillId="0" borderId="15" xfId="0" applyFont="1" applyBorder="1" applyAlignment="1" applyProtection="1">
      <alignment horizontal="center" vertical="center"/>
      <protection locked="0"/>
    </xf>
    <xf numFmtId="169" fontId="162" fillId="0" borderId="51" xfId="0" applyNumberFormat="1" applyFont="1" applyBorder="1" applyAlignment="1" applyProtection="1">
      <alignment horizontal="center" vertical="center" wrapText="1"/>
      <protection locked="0"/>
    </xf>
    <xf numFmtId="170" fontId="162" fillId="0" borderId="51" xfId="0" applyNumberFormat="1" applyFont="1" applyBorder="1" applyAlignment="1" applyProtection="1">
      <alignment horizontal="center" vertical="center"/>
      <protection locked="0"/>
    </xf>
    <xf numFmtId="169" fontId="162" fillId="0" borderId="15" xfId="0" applyNumberFormat="1" applyFont="1" applyBorder="1" applyAlignment="1" applyProtection="1">
      <alignment horizontal="center" vertical="center"/>
      <protection locked="0"/>
    </xf>
    <xf numFmtId="2" fontId="162" fillId="0" borderId="19" xfId="0" applyNumberFormat="1" applyFont="1" applyBorder="1" applyAlignment="1" applyProtection="1">
      <alignment horizontal="center" vertical="center"/>
      <protection locked="0"/>
    </xf>
    <xf numFmtId="168" fontId="162" fillId="0" borderId="19" xfId="0" applyNumberFormat="1" applyFont="1" applyBorder="1" applyAlignment="1" applyProtection="1">
      <alignment horizontal="center" vertical="center"/>
      <protection locked="0" hidden="1"/>
    </xf>
    <xf numFmtId="171" fontId="162" fillId="0" borderId="19" xfId="0" applyNumberFormat="1" applyFont="1" applyBorder="1" applyAlignment="1" applyProtection="1">
      <alignment horizontal="center" vertical="center"/>
      <protection locked="0" hidden="1"/>
    </xf>
    <xf numFmtId="0" fontId="162" fillId="0" borderId="19" xfId="0" applyFont="1" applyBorder="1" applyAlignment="1" applyProtection="1">
      <alignment horizontal="center" vertical="center"/>
      <protection locked="0" hidden="1"/>
    </xf>
    <xf numFmtId="169" fontId="162" fillId="0" borderId="19" xfId="0" applyNumberFormat="1" applyFont="1" applyBorder="1" applyAlignment="1" applyProtection="1">
      <alignment horizontal="center" vertical="center"/>
      <protection locked="0" hidden="1"/>
    </xf>
    <xf numFmtId="0" fontId="173" fillId="0" borderId="19" xfId="0" applyFont="1" applyBorder="1" applyAlignment="1" applyProtection="1">
      <alignment horizontal="center" vertical="center"/>
      <protection locked="0" hidden="1"/>
    </xf>
    <xf numFmtId="9" fontId="162" fillId="0" borderId="19" xfId="0" applyNumberFormat="1" applyFont="1" applyBorder="1" applyAlignment="1" applyProtection="1">
      <alignment horizontal="center" vertical="center"/>
      <protection locked="0" hidden="1"/>
    </xf>
    <xf numFmtId="173" fontId="162" fillId="0" borderId="19" xfId="0" applyNumberFormat="1" applyFont="1" applyBorder="1" applyAlignment="1" applyProtection="1">
      <alignment horizontal="center" vertical="center"/>
      <protection locked="0" hidden="1"/>
    </xf>
    <xf numFmtId="2" fontId="162" fillId="0" borderId="19" xfId="0" applyNumberFormat="1" applyFont="1" applyBorder="1" applyAlignment="1" applyProtection="1">
      <alignment horizontal="center" vertical="center"/>
      <protection locked="0" hidden="1"/>
    </xf>
    <xf numFmtId="173" fontId="154" fillId="0" borderId="15" xfId="0" applyNumberFormat="1" applyFont="1" applyBorder="1" applyAlignment="1" applyProtection="1">
      <alignment horizontal="center" vertical="center" wrapText="1"/>
      <protection locked="0" hidden="1"/>
    </xf>
    <xf numFmtId="173" fontId="154" fillId="0" borderId="15" xfId="0" applyNumberFormat="1" applyFont="1" applyBorder="1" applyAlignment="1" applyProtection="1">
      <alignment horizontal="center" vertical="center"/>
      <protection locked="0" hidden="1"/>
    </xf>
    <xf numFmtId="2" fontId="162" fillId="0" borderId="15" xfId="0" applyNumberFormat="1" applyFont="1" applyBorder="1" applyAlignment="1" applyProtection="1">
      <alignment horizontal="center" vertical="center"/>
      <protection locked="0" hidden="1"/>
    </xf>
    <xf numFmtId="0" fontId="162" fillId="0" borderId="15" xfId="0" applyFont="1" applyBorder="1" applyAlignment="1" applyProtection="1">
      <alignment horizontal="center" vertical="center" wrapText="1"/>
      <protection locked="0" hidden="1"/>
    </xf>
    <xf numFmtId="0" fontId="162" fillId="0" borderId="0" xfId="0" applyFont="1" applyProtection="1">
      <protection locked="0"/>
    </xf>
    <xf numFmtId="0" fontId="144" fillId="0" borderId="0" xfId="63" applyFont="1" applyAlignment="1">
      <alignment vertical="center" wrapText="1"/>
    </xf>
    <xf numFmtId="167" fontId="157" fillId="39" borderId="34" xfId="0" applyNumberFormat="1" applyFont="1" applyFill="1" applyBorder="1" applyAlignment="1" applyProtection="1">
      <alignment horizontal="center" vertical="center"/>
      <protection locked="0"/>
    </xf>
    <xf numFmtId="167" fontId="157" fillId="39" borderId="15" xfId="0" applyNumberFormat="1" applyFont="1" applyFill="1" applyBorder="1" applyAlignment="1" applyProtection="1">
      <alignment horizontal="center" vertical="center"/>
      <protection locked="0"/>
    </xf>
    <xf numFmtId="0" fontId="162" fillId="0" borderId="0" xfId="63" applyFont="1" applyAlignment="1" applyProtection="1">
      <alignment horizontal="center" vertical="center"/>
      <protection locked="0"/>
    </xf>
    <xf numFmtId="0" fontId="141" fillId="0" borderId="15" xfId="0" applyFont="1" applyBorder="1" applyAlignment="1" applyProtection="1">
      <alignment horizontal="center" vertical="center" wrapText="1"/>
      <protection locked="0"/>
    </xf>
    <xf numFmtId="0" fontId="175" fillId="0" borderId="0" xfId="0" applyFont="1" applyAlignment="1" applyProtection="1">
      <alignment horizontal="center" vertical="center"/>
      <protection locked="0"/>
    </xf>
    <xf numFmtId="0" fontId="159" fillId="39" borderId="34" xfId="63" applyFont="1" applyFill="1" applyBorder="1" applyAlignment="1" applyProtection="1">
      <alignment horizontal="center" vertical="center" wrapText="1"/>
      <protection locked="0"/>
    </xf>
    <xf numFmtId="0" fontId="159" fillId="39" borderId="15" xfId="63" applyFont="1" applyFill="1" applyBorder="1" applyAlignment="1" applyProtection="1">
      <alignment horizontal="center" vertical="center" wrapText="1"/>
      <protection locked="0"/>
    </xf>
    <xf numFmtId="0" fontId="159" fillId="0" borderId="15" xfId="0" applyFont="1" applyBorder="1" applyAlignment="1" applyProtection="1">
      <alignment horizontal="center" vertical="center"/>
      <protection locked="0"/>
    </xf>
    <xf numFmtId="0" fontId="159" fillId="0" borderId="15" xfId="63" applyFont="1" applyBorder="1" applyAlignment="1" applyProtection="1">
      <alignment horizontal="center" vertical="center" wrapText="1"/>
      <protection locked="0"/>
    </xf>
    <xf numFmtId="0" fontId="177" fillId="0" borderId="0" xfId="0" applyFont="1" applyAlignment="1" applyProtection="1">
      <alignment horizontal="center" vertical="center"/>
      <protection locked="0"/>
    </xf>
    <xf numFmtId="167" fontId="171" fillId="39" borderId="0" xfId="0" applyNumberFormat="1" applyFont="1" applyFill="1" applyAlignment="1" applyProtection="1">
      <alignment horizontal="center" vertical="center"/>
      <protection locked="0"/>
    </xf>
    <xf numFmtId="167" fontId="171" fillId="39" borderId="0" xfId="0" applyNumberFormat="1" applyFont="1" applyFill="1" applyAlignment="1" applyProtection="1">
      <alignment vertical="center"/>
      <protection locked="0"/>
    </xf>
    <xf numFmtId="167" fontId="171" fillId="0" borderId="0" xfId="0" applyNumberFormat="1" applyFont="1" applyAlignment="1" applyProtection="1">
      <alignment vertical="center"/>
      <protection locked="0"/>
    </xf>
    <xf numFmtId="167" fontId="170" fillId="0" borderId="0" xfId="0" applyNumberFormat="1" applyFont="1" applyAlignment="1" applyProtection="1">
      <alignment horizontal="center" vertical="center" wrapText="1"/>
      <protection locked="0"/>
    </xf>
    <xf numFmtId="167" fontId="158" fillId="0" borderId="0" xfId="0" applyNumberFormat="1" applyFont="1" applyAlignment="1" applyProtection="1">
      <alignment vertical="center"/>
      <protection locked="0"/>
    </xf>
    <xf numFmtId="167" fontId="162" fillId="0" borderId="0" xfId="0" applyNumberFormat="1" applyFont="1" applyAlignment="1" applyProtection="1">
      <alignment horizontal="center" vertical="center"/>
      <protection locked="0"/>
    </xf>
    <xf numFmtId="0" fontId="162" fillId="0" borderId="0" xfId="0" applyFont="1" applyAlignment="1" applyProtection="1">
      <alignment horizontal="center" vertical="center" wrapText="1"/>
      <protection locked="0"/>
    </xf>
    <xf numFmtId="167" fontId="170" fillId="0" borderId="0" xfId="0" applyNumberFormat="1" applyFont="1" applyAlignment="1" applyProtection="1">
      <alignment horizontal="center" vertical="center"/>
      <protection locked="0"/>
    </xf>
    <xf numFmtId="167" fontId="170" fillId="0" borderId="0" xfId="0" applyNumberFormat="1" applyFont="1" applyAlignment="1" applyProtection="1">
      <alignment vertical="center"/>
      <protection locked="0"/>
    </xf>
    <xf numFmtId="167" fontId="170" fillId="0" borderId="0" xfId="0" applyNumberFormat="1" applyFont="1" applyAlignment="1" applyProtection="1">
      <alignment vertical="center" wrapText="1"/>
      <protection locked="0"/>
    </xf>
    <xf numFmtId="0" fontId="162" fillId="0" borderId="0" xfId="65" applyFont="1" applyAlignment="1" applyProtection="1">
      <alignment horizontal="center" vertical="center"/>
      <protection locked="0"/>
    </xf>
    <xf numFmtId="170" fontId="162" fillId="0" borderId="15" xfId="65" applyNumberFormat="1" applyFont="1" applyBorder="1" applyAlignment="1" applyProtection="1">
      <alignment horizontal="center" vertical="center" wrapText="1"/>
      <protection locked="0"/>
    </xf>
    <xf numFmtId="3" fontId="162" fillId="0" borderId="15" xfId="65" applyNumberFormat="1" applyFont="1" applyBorder="1" applyAlignment="1" applyProtection="1">
      <alignment horizontal="center" vertical="center" shrinkToFit="1"/>
      <protection locked="0"/>
    </xf>
    <xf numFmtId="0" fontId="162" fillId="0" borderId="15" xfId="63" quotePrefix="1" applyFont="1" applyBorder="1" applyAlignment="1" applyProtection="1">
      <alignment horizontal="center" vertical="center" wrapText="1"/>
      <protection locked="0"/>
    </xf>
    <xf numFmtId="0" fontId="162" fillId="0" borderId="15" xfId="63" applyFont="1" applyBorder="1" applyAlignment="1" applyProtection="1">
      <alignment horizontal="center" vertical="center" wrapText="1"/>
      <protection locked="0"/>
    </xf>
    <xf numFmtId="0" fontId="162" fillId="0" borderId="15" xfId="63" applyFont="1" applyBorder="1" applyAlignment="1" applyProtection="1">
      <alignment horizontal="center" vertical="center"/>
      <protection locked="0"/>
    </xf>
    <xf numFmtId="0" fontId="162" fillId="0" borderId="15" xfId="65" applyFont="1" applyBorder="1" applyAlignment="1" applyProtection="1">
      <alignment horizontal="center" vertical="center"/>
      <protection locked="0"/>
    </xf>
    <xf numFmtId="2" fontId="162" fillId="0" borderId="15" xfId="65" applyNumberFormat="1" applyFont="1" applyBorder="1" applyAlignment="1" applyProtection="1">
      <alignment horizontal="center" vertical="center"/>
      <protection locked="0"/>
    </xf>
    <xf numFmtId="1" fontId="162" fillId="0" borderId="15" xfId="63" applyNumberFormat="1" applyFont="1" applyBorder="1" applyAlignment="1" applyProtection="1">
      <alignment horizontal="center" vertical="center" wrapText="1"/>
      <protection locked="0"/>
    </xf>
    <xf numFmtId="0" fontId="162" fillId="0" borderId="0" xfId="65" applyFont="1" applyAlignment="1" applyProtection="1">
      <alignment horizontal="center" vertical="center" wrapText="1"/>
      <protection locked="0"/>
    </xf>
    <xf numFmtId="0" fontId="162" fillId="0" borderId="15" xfId="63" quotePrefix="1" applyFont="1" applyBorder="1" applyAlignment="1" applyProtection="1">
      <alignment horizontal="center" vertical="center"/>
      <protection locked="0"/>
    </xf>
    <xf numFmtId="181" fontId="162" fillId="0" borderId="0" xfId="65" applyNumberFormat="1" applyFont="1" applyAlignment="1" applyProtection="1">
      <alignment horizontal="center" vertical="center"/>
      <protection locked="0"/>
    </xf>
    <xf numFmtId="0" fontId="162" fillId="0" borderId="0" xfId="63" applyFont="1" applyProtection="1">
      <protection locked="0"/>
    </xf>
    <xf numFmtId="0" fontId="162" fillId="0" borderId="0" xfId="63" applyFont="1" applyAlignment="1" applyProtection="1">
      <alignment horizontal="center" vertical="center" wrapText="1"/>
      <protection locked="0"/>
    </xf>
    <xf numFmtId="0" fontId="162" fillId="0" borderId="0" xfId="63" applyFont="1" applyAlignment="1" applyProtection="1">
      <alignment wrapText="1"/>
      <protection locked="0"/>
    </xf>
    <xf numFmtId="0" fontId="162" fillId="0" borderId="0" xfId="0" applyFont="1" applyAlignment="1" applyProtection="1">
      <alignment horizontal="center" vertical="center"/>
      <protection locked="0"/>
    </xf>
    <xf numFmtId="0" fontId="162" fillId="0" borderId="0" xfId="63" applyFont="1" applyAlignment="1" applyProtection="1">
      <alignment vertical="center"/>
      <protection locked="0"/>
    </xf>
    <xf numFmtId="178" fontId="172" fillId="0" borderId="0" xfId="66" applyFont="1" applyAlignment="1" applyProtection="1">
      <alignment horizontal="center" vertical="center" wrapText="1"/>
      <protection locked="0"/>
    </xf>
    <xf numFmtId="178" fontId="162" fillId="0" borderId="0" xfId="67" applyFont="1" applyAlignment="1" applyProtection="1">
      <alignment horizontal="center" vertical="center" wrapText="1"/>
      <protection locked="0"/>
    </xf>
    <xf numFmtId="178" fontId="178" fillId="0" borderId="0" xfId="75" applyFont="1" applyAlignment="1" applyProtection="1">
      <alignment horizontal="center" vertical="center" wrapText="1"/>
      <protection locked="0"/>
    </xf>
    <xf numFmtId="178" fontId="162" fillId="0" borderId="0" xfId="67" applyFont="1" applyAlignment="1" applyProtection="1">
      <alignment horizontal="center" vertical="center"/>
      <protection locked="0"/>
    </xf>
    <xf numFmtId="49" fontId="178" fillId="0" borderId="0" xfId="75" applyNumberFormat="1" applyFont="1" applyAlignment="1" applyProtection="1">
      <alignment horizontal="center" vertical="center" wrapText="1"/>
      <protection locked="0"/>
    </xf>
    <xf numFmtId="178" fontId="159" fillId="0" borderId="0" xfId="67" applyFont="1" applyAlignment="1" applyProtection="1">
      <alignment vertical="center" wrapText="1"/>
      <protection locked="0"/>
    </xf>
    <xf numFmtId="0" fontId="178" fillId="0" borderId="0" xfId="87" applyFont="1"/>
    <xf numFmtId="178" fontId="162" fillId="0" borderId="0" xfId="90" applyFont="1" applyAlignment="1">
      <alignment horizontal="left" vertical="center"/>
    </xf>
    <xf numFmtId="0" fontId="178" fillId="0" borderId="0" xfId="87" applyFont="1" applyAlignment="1">
      <alignment horizontal="left" vertical="center"/>
    </xf>
    <xf numFmtId="2" fontId="162" fillId="0" borderId="0" xfId="90" applyNumberFormat="1" applyFont="1" applyAlignment="1">
      <alignment horizontal="left" vertical="center"/>
    </xf>
    <xf numFmtId="0" fontId="159" fillId="0" borderId="0" xfId="63" applyFont="1" applyAlignment="1" applyProtection="1">
      <alignment vertical="center" wrapText="1"/>
      <protection locked="0"/>
    </xf>
    <xf numFmtId="0" fontId="159" fillId="0" borderId="0" xfId="63" applyFont="1" applyAlignment="1" applyProtection="1">
      <alignment horizontal="center" vertical="center" wrapText="1"/>
      <protection locked="0"/>
    </xf>
    <xf numFmtId="0" fontId="154" fillId="0" borderId="0" xfId="63" applyFont="1" applyProtection="1">
      <protection locked="0"/>
    </xf>
    <xf numFmtId="0" fontId="159" fillId="45" borderId="0" xfId="0" applyFont="1" applyFill="1" applyAlignment="1" applyProtection="1">
      <alignment vertical="center" wrapText="1"/>
      <protection locked="0" hidden="1"/>
    </xf>
    <xf numFmtId="0" fontId="159" fillId="45" borderId="29" xfId="0" applyFont="1" applyFill="1" applyBorder="1" applyAlignment="1" applyProtection="1">
      <alignment vertical="center" wrapText="1"/>
      <protection locked="0" hidden="1"/>
    </xf>
    <xf numFmtId="0" fontId="159" fillId="45" borderId="15" xfId="0" applyFont="1" applyFill="1" applyBorder="1" applyAlignment="1" applyProtection="1">
      <alignment horizontal="center" vertical="center"/>
      <protection locked="0" hidden="1"/>
    </xf>
    <xf numFmtId="0" fontId="162" fillId="45" borderId="0" xfId="0" applyFont="1" applyFill="1" applyAlignment="1" applyProtection="1">
      <alignment horizontal="center" vertical="center"/>
      <protection locked="0" hidden="1"/>
    </xf>
    <xf numFmtId="0" fontId="159" fillId="45" borderId="14" xfId="0" applyFont="1" applyFill="1" applyBorder="1" applyAlignment="1" applyProtection="1">
      <alignment vertical="center" wrapText="1"/>
      <protection locked="0" hidden="1"/>
    </xf>
    <xf numFmtId="0" fontId="159" fillId="45" borderId="37" xfId="0" applyFont="1" applyFill="1" applyBorder="1" applyAlignment="1" applyProtection="1">
      <alignment vertical="center" wrapText="1"/>
      <protection locked="0" hidden="1"/>
    </xf>
    <xf numFmtId="9" fontId="159" fillId="45" borderId="33" xfId="47" applyNumberFormat="1" applyFont="1" applyFill="1" applyBorder="1" applyAlignment="1" applyProtection="1">
      <alignment horizontal="center" vertical="center"/>
      <protection locked="0" hidden="1"/>
    </xf>
    <xf numFmtId="0" fontId="164" fillId="45" borderId="51" xfId="0" applyFont="1" applyFill="1" applyBorder="1" applyAlignment="1" applyProtection="1">
      <alignment horizontal="center" vertical="center" wrapText="1"/>
      <protection locked="0" hidden="1"/>
    </xf>
    <xf numFmtId="9" fontId="159" fillId="45" borderId="21" xfId="47" applyNumberFormat="1" applyFont="1" applyFill="1" applyBorder="1" applyAlignment="1" applyProtection="1">
      <alignment horizontal="center" vertical="center"/>
      <protection locked="0" hidden="1"/>
    </xf>
    <xf numFmtId="167" fontId="158" fillId="45" borderId="82" xfId="0" applyNumberFormat="1" applyFont="1" applyFill="1" applyBorder="1" applyAlignment="1" applyProtection="1">
      <alignment horizontal="center" vertical="center" wrapText="1"/>
      <protection locked="0"/>
    </xf>
    <xf numFmtId="178" fontId="158" fillId="45" borderId="82" xfId="61" applyFont="1" applyFill="1" applyBorder="1" applyAlignment="1" applyProtection="1">
      <alignment horizontal="center" vertical="center"/>
      <protection locked="0"/>
    </xf>
    <xf numFmtId="9" fontId="141" fillId="45" borderId="82" xfId="0" applyNumberFormat="1" applyFont="1" applyFill="1" applyBorder="1" applyAlignment="1" applyProtection="1">
      <alignment horizontal="center" vertical="center" wrapText="1"/>
      <protection locked="0"/>
    </xf>
    <xf numFmtId="178" fontId="158" fillId="45" borderId="15" xfId="61" applyFont="1" applyFill="1" applyBorder="1" applyAlignment="1" applyProtection="1">
      <alignment horizontal="center" vertical="center"/>
      <protection locked="0"/>
    </xf>
    <xf numFmtId="0" fontId="141" fillId="45" borderId="15" xfId="0" applyFont="1" applyFill="1" applyBorder="1" applyAlignment="1" applyProtection="1">
      <alignment horizontal="center" vertical="center" wrapText="1"/>
      <protection locked="0" hidden="1"/>
    </xf>
    <xf numFmtId="167" fontId="169" fillId="50" borderId="78" xfId="0" applyNumberFormat="1" applyFont="1" applyFill="1" applyBorder="1" applyAlignment="1" applyProtection="1">
      <alignment horizontal="center" vertical="center"/>
      <protection locked="0"/>
    </xf>
    <xf numFmtId="167" fontId="170" fillId="50" borderId="34" xfId="0" applyNumberFormat="1" applyFont="1" applyFill="1" applyBorder="1" applyAlignment="1" applyProtection="1">
      <alignment vertical="center" wrapText="1"/>
      <protection locked="0"/>
    </xf>
    <xf numFmtId="167" fontId="170" fillId="50" borderId="15" xfId="0" applyNumberFormat="1" applyFont="1" applyFill="1" applyBorder="1" applyAlignment="1" applyProtection="1">
      <alignment vertical="center" wrapText="1"/>
      <protection locked="0"/>
    </xf>
    <xf numFmtId="167" fontId="170" fillId="50" borderId="61" xfId="0" applyNumberFormat="1" applyFont="1" applyFill="1" applyBorder="1" applyAlignment="1" applyProtection="1">
      <alignment horizontal="center" vertical="center" wrapText="1"/>
      <protection locked="0"/>
    </xf>
    <xf numFmtId="167" fontId="158" fillId="50" borderId="61" xfId="0" applyNumberFormat="1" applyFont="1" applyFill="1" applyBorder="1" applyAlignment="1" applyProtection="1">
      <alignment vertical="center"/>
      <protection locked="0" hidden="1"/>
    </xf>
    <xf numFmtId="0" fontId="162" fillId="50" borderId="33" xfId="0" applyFont="1" applyFill="1" applyBorder="1" applyAlignment="1" applyProtection="1">
      <alignment wrapText="1"/>
      <protection locked="0" hidden="1"/>
    </xf>
    <xf numFmtId="0" fontId="162" fillId="50" borderId="61" xfId="0" applyFont="1" applyFill="1" applyBorder="1" applyAlignment="1" applyProtection="1">
      <alignment wrapText="1"/>
      <protection locked="0" hidden="1"/>
    </xf>
    <xf numFmtId="0" fontId="162" fillId="50" borderId="0" xfId="0" applyFont="1" applyFill="1" applyProtection="1">
      <protection locked="0" hidden="1"/>
    </xf>
    <xf numFmtId="167" fontId="162" fillId="50" borderId="15" xfId="0" applyNumberFormat="1" applyFont="1" applyFill="1" applyBorder="1" applyAlignment="1" applyProtection="1">
      <alignment horizontal="center" vertical="center"/>
      <protection locked="0" hidden="1"/>
    </xf>
    <xf numFmtId="49" fontId="170" fillId="50" borderId="78" xfId="0" applyNumberFormat="1" applyFont="1" applyFill="1" applyBorder="1" applyAlignment="1" applyProtection="1">
      <alignment horizontal="center" vertical="center"/>
      <protection locked="0"/>
    </xf>
    <xf numFmtId="167" fontId="148" fillId="50" borderId="79" xfId="0" applyNumberFormat="1" applyFont="1" applyFill="1" applyBorder="1" applyAlignment="1" applyProtection="1">
      <alignment horizontal="center" vertical="center"/>
      <protection locked="0"/>
    </xf>
    <xf numFmtId="173" fontId="148" fillId="50" borderId="79" xfId="0" applyNumberFormat="1" applyFont="1" applyFill="1" applyBorder="1" applyAlignment="1" applyProtection="1">
      <alignment horizontal="center" vertical="center"/>
      <protection locked="0"/>
    </xf>
    <xf numFmtId="167" fontId="61" fillId="50" borderId="34" xfId="0" applyNumberFormat="1" applyFont="1" applyFill="1" applyBorder="1" applyAlignment="1" applyProtection="1">
      <alignment horizontal="center" vertical="center"/>
      <protection locked="0"/>
    </xf>
    <xf numFmtId="167" fontId="61" fillId="50" borderId="15" xfId="0" applyNumberFormat="1" applyFont="1" applyFill="1" applyBorder="1" applyAlignment="1" applyProtection="1">
      <alignment horizontal="center" vertical="center"/>
      <protection locked="0"/>
    </xf>
    <xf numFmtId="167" fontId="61" fillId="50" borderId="15" xfId="0" applyNumberFormat="1" applyFont="1" applyFill="1" applyBorder="1" applyAlignment="1" applyProtection="1">
      <alignment horizontal="center" vertical="center"/>
      <protection locked="0" hidden="1"/>
    </xf>
    <xf numFmtId="0" fontId="0" fillId="50" borderId="0" xfId="0" applyFill="1" applyProtection="1">
      <protection locked="0"/>
    </xf>
    <xf numFmtId="0" fontId="18" fillId="50" borderId="0" xfId="0" applyFont="1" applyFill="1" applyProtection="1">
      <protection locked="0"/>
    </xf>
    <xf numFmtId="167" fontId="149" fillId="50" borderId="78" xfId="0" applyNumberFormat="1" applyFont="1" applyFill="1" applyBorder="1" applyAlignment="1" applyProtection="1">
      <alignment horizontal="center" vertical="center"/>
      <protection locked="0"/>
    </xf>
    <xf numFmtId="167" fontId="149" fillId="45" borderId="80" xfId="0" applyNumberFormat="1" applyFont="1" applyFill="1" applyBorder="1" applyAlignment="1" applyProtection="1">
      <alignment vertical="center" textRotation="90" wrapText="1"/>
      <protection locked="0"/>
    </xf>
    <xf numFmtId="167" fontId="149" fillId="45" borderId="80" xfId="65" applyNumberFormat="1" applyFont="1" applyFill="1" applyBorder="1" applyAlignment="1" applyProtection="1">
      <alignment horizontal="center" vertical="center" textRotation="90" wrapText="1"/>
      <protection locked="0"/>
    </xf>
    <xf numFmtId="178" fontId="149" fillId="45" borderId="80" xfId="61" applyFont="1" applyFill="1" applyBorder="1" applyAlignment="1" applyProtection="1">
      <alignment horizontal="center" vertical="center" wrapText="1"/>
      <protection locked="0"/>
    </xf>
    <xf numFmtId="167" fontId="149" fillId="45" borderId="82" xfId="0" applyNumberFormat="1" applyFont="1" applyFill="1" applyBorder="1" applyAlignment="1" applyProtection="1">
      <alignment horizontal="center" vertical="center" wrapText="1"/>
      <protection locked="0"/>
    </xf>
    <xf numFmtId="167" fontId="149" fillId="45" borderId="82" xfId="0" applyNumberFormat="1" applyFont="1" applyFill="1" applyBorder="1" applyAlignment="1" applyProtection="1">
      <alignment vertical="center" textRotation="90" wrapText="1"/>
      <protection locked="0"/>
    </xf>
    <xf numFmtId="178" fontId="149" fillId="45" borderId="82" xfId="61" applyFont="1" applyFill="1" applyBorder="1" applyAlignment="1" applyProtection="1">
      <alignment horizontal="center" vertical="center"/>
      <protection locked="0"/>
    </xf>
    <xf numFmtId="9" fontId="150" fillId="45" borderId="82" xfId="0" applyNumberFormat="1" applyFont="1" applyFill="1" applyBorder="1" applyAlignment="1" applyProtection="1">
      <alignment horizontal="center" vertical="center" wrapText="1"/>
      <protection locked="0"/>
    </xf>
    <xf numFmtId="167" fontId="149" fillId="45" borderId="80" xfId="80" applyNumberFormat="1" applyFont="1" applyFill="1" applyBorder="1" applyAlignment="1" applyProtection="1">
      <alignment horizontal="center" vertical="center" wrapText="1"/>
      <protection locked="0"/>
    </xf>
    <xf numFmtId="178" fontId="149" fillId="45" borderId="80" xfId="61" applyFont="1" applyFill="1" applyBorder="1" applyAlignment="1" applyProtection="1">
      <alignment horizontal="center" vertical="center"/>
      <protection locked="0"/>
    </xf>
    <xf numFmtId="167" fontId="148" fillId="50" borderId="79" xfId="80" applyNumberFormat="1" applyFont="1" applyFill="1" applyBorder="1" applyAlignment="1" applyProtection="1">
      <alignment horizontal="center" vertical="center"/>
      <protection locked="0"/>
    </xf>
    <xf numFmtId="0" fontId="150" fillId="50" borderId="81" xfId="65" applyFont="1" applyFill="1" applyBorder="1" applyAlignment="1" applyProtection="1">
      <alignment horizontal="center" vertical="center"/>
      <protection locked="0"/>
    </xf>
    <xf numFmtId="167" fontId="149" fillId="50" borderId="78" xfId="80" applyNumberFormat="1" applyFont="1" applyFill="1" applyBorder="1" applyAlignment="1" applyProtection="1">
      <alignment horizontal="center" vertical="center"/>
      <protection locked="0"/>
    </xf>
    <xf numFmtId="167" fontId="174" fillId="50" borderId="79" xfId="0" applyNumberFormat="1" applyFont="1" applyFill="1" applyBorder="1" applyAlignment="1" applyProtection="1">
      <alignment horizontal="center" vertical="center" wrapText="1"/>
      <protection locked="0"/>
    </xf>
    <xf numFmtId="167" fontId="148" fillId="50" borderId="79" xfId="0" applyNumberFormat="1" applyFont="1" applyFill="1" applyBorder="1" applyAlignment="1" applyProtection="1">
      <alignment horizontal="center" vertical="center" wrapText="1"/>
      <protection locked="0"/>
    </xf>
    <xf numFmtId="0" fontId="150" fillId="45" borderId="82" xfId="63" applyFont="1" applyFill="1" applyBorder="1" applyAlignment="1" applyProtection="1">
      <alignment horizontal="center" vertical="center" wrapText="1"/>
      <protection locked="0"/>
    </xf>
    <xf numFmtId="0" fontId="150" fillId="45" borderId="82" xfId="63" applyFont="1" applyFill="1" applyBorder="1" applyAlignment="1" applyProtection="1">
      <alignment horizontal="center" vertical="center"/>
      <protection locked="0"/>
    </xf>
    <xf numFmtId="167" fontId="150" fillId="45" borderId="82" xfId="80" applyNumberFormat="1" applyFont="1" applyFill="1" applyBorder="1" applyAlignment="1" applyProtection="1">
      <alignment horizontal="center" vertical="center" wrapText="1"/>
      <protection locked="0"/>
    </xf>
    <xf numFmtId="167" fontId="149" fillId="45" borderId="82" xfId="80" applyNumberFormat="1" applyFont="1" applyFill="1" applyBorder="1" applyAlignment="1" applyProtection="1">
      <alignment horizontal="center" vertical="center" wrapText="1"/>
      <protection locked="0"/>
    </xf>
    <xf numFmtId="0" fontId="155" fillId="45" borderId="82" xfId="80" applyFont="1" applyFill="1" applyBorder="1" applyAlignment="1" applyProtection="1">
      <alignment horizontal="center" vertical="center"/>
      <protection locked="0"/>
    </xf>
    <xf numFmtId="167" fontId="149" fillId="50" borderId="85" xfId="80" applyNumberFormat="1" applyFont="1" applyFill="1" applyBorder="1" applyAlignment="1" applyProtection="1">
      <alignment horizontal="center" vertical="center"/>
      <protection locked="0"/>
    </xf>
    <xf numFmtId="14" fontId="140" fillId="0" borderId="0" xfId="98" applyNumberFormat="1" applyFont="1" applyAlignment="1">
      <alignment horizontal="left" vertical="center"/>
    </xf>
    <xf numFmtId="168" fontId="162" fillId="0" borderId="83" xfId="0" applyNumberFormat="1" applyFont="1" applyBorder="1" applyAlignment="1">
      <alignment horizontal="center" vertical="center"/>
    </xf>
    <xf numFmtId="2" fontId="162" fillId="0" borderId="83" xfId="0" quotePrefix="1" applyNumberFormat="1" applyFont="1" applyBorder="1" applyAlignment="1">
      <alignment horizontal="center" vertical="center" wrapText="1"/>
    </xf>
    <xf numFmtId="169" fontId="162" fillId="0" borderId="83" xfId="0" applyNumberFormat="1" applyFont="1" applyBorder="1" applyAlignment="1">
      <alignment horizontal="center" vertical="center" wrapText="1"/>
    </xf>
    <xf numFmtId="0" fontId="162" fillId="0" borderId="83" xfId="0" applyFont="1" applyBorder="1" applyAlignment="1">
      <alignment horizontal="center" vertical="center" wrapText="1"/>
    </xf>
    <xf numFmtId="2" fontId="162" fillId="0" borderId="83" xfId="0" applyNumberFormat="1" applyFont="1" applyBorder="1" applyAlignment="1">
      <alignment horizontal="center" vertical="center" wrapText="1"/>
    </xf>
    <xf numFmtId="1" fontId="162" fillId="0" borderId="83" xfId="0" applyNumberFormat="1" applyFont="1" applyBorder="1" applyAlignment="1">
      <alignment horizontal="center" vertical="center"/>
    </xf>
    <xf numFmtId="173" fontId="162" fillId="0" borderId="83" xfId="0" applyNumberFormat="1" applyFont="1" applyBorder="1" applyAlignment="1">
      <alignment horizontal="center" vertical="center"/>
    </xf>
    <xf numFmtId="0" fontId="162" fillId="0" borderId="83" xfId="0" applyFont="1" applyBorder="1" applyAlignment="1">
      <alignment horizontal="center" vertical="center"/>
    </xf>
    <xf numFmtId="2" fontId="162" fillId="0" borderId="83" xfId="0" applyNumberFormat="1" applyFont="1" applyBorder="1" applyAlignment="1">
      <alignment horizontal="center" vertical="center"/>
    </xf>
    <xf numFmtId="166" fontId="162" fillId="0" borderId="83" xfId="0" applyNumberFormat="1" applyFont="1" applyBorder="1" applyAlignment="1">
      <alignment horizontal="center" vertical="center"/>
    </xf>
    <xf numFmtId="171" fontId="162" fillId="0" borderId="83" xfId="0" applyNumberFormat="1" applyFont="1" applyBorder="1" applyAlignment="1">
      <alignment horizontal="center" vertical="center"/>
    </xf>
    <xf numFmtId="178" fontId="23" fillId="0" borderId="0" xfId="61" applyFont="1" applyAlignment="1" applyProtection="1">
      <alignment horizontal="center" vertical="center" wrapText="1"/>
      <protection hidden="1"/>
    </xf>
    <xf numFmtId="0" fontId="172" fillId="0" borderId="83" xfId="0" applyFont="1" applyBorder="1" applyAlignment="1" applyProtection="1">
      <alignment horizontal="center" vertical="center"/>
      <protection locked="0"/>
    </xf>
    <xf numFmtId="166" fontId="18" fillId="0" borderId="0" xfId="0" applyNumberFormat="1" applyFont="1" applyAlignment="1" applyProtection="1">
      <alignment horizontal="center"/>
      <protection locked="0"/>
    </xf>
    <xf numFmtId="167" fontId="18" fillId="0" borderId="0" xfId="0" applyNumberFormat="1" applyFont="1" applyAlignment="1" applyProtection="1">
      <alignment horizontal="center" vertical="center"/>
      <protection locked="0" hidden="1"/>
    </xf>
    <xf numFmtId="0" fontId="154" fillId="0" borderId="83" xfId="0" applyFont="1" applyBorder="1" applyAlignment="1">
      <alignment horizontal="center" vertical="center" wrapText="1"/>
    </xf>
    <xf numFmtId="168" fontId="154" fillId="0" borderId="83" xfId="0" applyNumberFormat="1" applyFont="1" applyBorder="1" applyAlignment="1">
      <alignment horizontal="center" vertical="center"/>
    </xf>
    <xf numFmtId="2" fontId="154" fillId="0" borderId="83" xfId="0" quotePrefix="1" applyNumberFormat="1" applyFont="1" applyBorder="1" applyAlignment="1">
      <alignment horizontal="center" vertical="center" wrapText="1"/>
    </xf>
    <xf numFmtId="169" fontId="154" fillId="0" borderId="83" xfId="0" applyNumberFormat="1" applyFont="1" applyBorder="1" applyAlignment="1">
      <alignment horizontal="center" vertical="center"/>
    </xf>
    <xf numFmtId="196" fontId="154" fillId="0" borderId="83" xfId="0" applyNumberFormat="1" applyFont="1" applyBorder="1" applyAlignment="1">
      <alignment horizontal="center" vertical="center" wrapText="1"/>
    </xf>
    <xf numFmtId="168" fontId="154" fillId="0" borderId="80" xfId="0" applyNumberFormat="1" applyFont="1" applyBorder="1" applyAlignment="1">
      <alignment horizontal="center" vertical="center"/>
    </xf>
    <xf numFmtId="2" fontId="154" fillId="0" borderId="80" xfId="0" quotePrefix="1" applyNumberFormat="1" applyFont="1" applyBorder="1" applyAlignment="1">
      <alignment horizontal="center" vertical="center" wrapText="1"/>
    </xf>
    <xf numFmtId="169" fontId="154" fillId="0" borderId="80" xfId="0" applyNumberFormat="1" applyFont="1" applyBorder="1" applyAlignment="1">
      <alignment horizontal="center" vertical="center"/>
    </xf>
    <xf numFmtId="196" fontId="154" fillId="0" borderId="80" xfId="0" applyNumberFormat="1" applyFont="1" applyBorder="1" applyAlignment="1">
      <alignment horizontal="center" vertical="center" wrapText="1"/>
    </xf>
    <xf numFmtId="167" fontId="59" fillId="0" borderId="0" xfId="0" applyNumberFormat="1" applyFont="1" applyAlignment="1" applyProtection="1">
      <alignment horizontal="center" vertical="center"/>
      <protection locked="0"/>
    </xf>
    <xf numFmtId="167" fontId="163" fillId="50" borderId="79" xfId="0" applyNumberFormat="1" applyFont="1" applyFill="1" applyBorder="1" applyAlignment="1" applyProtection="1">
      <alignment horizontal="center" vertical="center"/>
      <protection locked="0"/>
    </xf>
    <xf numFmtId="167" fontId="163" fillId="50" borderId="34" xfId="0" applyNumberFormat="1" applyFont="1" applyFill="1" applyBorder="1" applyAlignment="1" applyProtection="1">
      <alignment horizontal="center" vertical="center"/>
      <protection locked="0"/>
    </xf>
    <xf numFmtId="167" fontId="163" fillId="50" borderId="15" xfId="0" applyNumberFormat="1" applyFont="1" applyFill="1" applyBorder="1" applyAlignment="1" applyProtection="1">
      <alignment horizontal="center" vertical="center"/>
      <protection locked="0"/>
    </xf>
    <xf numFmtId="167" fontId="163" fillId="50" borderId="15" xfId="0" applyNumberFormat="1" applyFont="1" applyFill="1" applyBorder="1" applyAlignment="1" applyProtection="1">
      <alignment horizontal="center" vertical="center"/>
      <protection locked="0" hidden="1"/>
    </xf>
    <xf numFmtId="1" fontId="154" fillId="0" borderId="83" xfId="0" applyNumberFormat="1" applyFont="1" applyBorder="1" applyAlignment="1">
      <alignment horizontal="center" vertical="center"/>
    </xf>
    <xf numFmtId="2" fontId="154" fillId="0" borderId="83" xfId="0" applyNumberFormat="1" applyFont="1" applyBorder="1" applyAlignment="1">
      <alignment horizontal="center" vertical="center" wrapText="1"/>
    </xf>
    <xf numFmtId="173" fontId="154" fillId="0" borderId="83" xfId="0" applyNumberFormat="1" applyFont="1" applyBorder="1" applyAlignment="1">
      <alignment horizontal="center" vertical="center"/>
    </xf>
    <xf numFmtId="0" fontId="154" fillId="0" borderId="83" xfId="0" applyFont="1" applyBorder="1" applyAlignment="1">
      <alignment horizontal="center" vertical="center"/>
    </xf>
    <xf numFmtId="2" fontId="154" fillId="0" borderId="83" xfId="0" applyNumberFormat="1" applyFont="1" applyBorder="1" applyAlignment="1">
      <alignment horizontal="center" vertical="center"/>
    </xf>
    <xf numFmtId="166" fontId="154" fillId="0" borderId="83" xfId="0" applyNumberFormat="1" applyFont="1" applyBorder="1" applyAlignment="1">
      <alignment horizontal="center" vertical="center" wrapText="1"/>
    </xf>
    <xf numFmtId="171" fontId="154" fillId="0" borderId="83" xfId="0" applyNumberFormat="1" applyFont="1" applyBorder="1" applyAlignment="1">
      <alignment horizontal="center" vertical="center"/>
    </xf>
    <xf numFmtId="1" fontId="154" fillId="0" borderId="80" xfId="0" applyNumberFormat="1" applyFont="1" applyBorder="1" applyAlignment="1">
      <alignment horizontal="center" vertical="center"/>
    </xf>
    <xf numFmtId="2" fontId="154" fillId="0" borderId="80" xfId="0" applyNumberFormat="1" applyFont="1" applyBorder="1" applyAlignment="1">
      <alignment horizontal="center" vertical="center" wrapText="1"/>
    </xf>
    <xf numFmtId="0" fontId="154" fillId="0" borderId="80" xfId="0" applyFont="1" applyBorder="1" applyAlignment="1">
      <alignment horizontal="center" vertical="center"/>
    </xf>
    <xf numFmtId="2" fontId="154" fillId="0" borderId="80" xfId="0" applyNumberFormat="1" applyFont="1" applyBorder="1" applyAlignment="1">
      <alignment horizontal="center" vertical="center"/>
    </xf>
    <xf numFmtId="171" fontId="154" fillId="0" borderId="80" xfId="0" applyNumberFormat="1" applyFont="1" applyBorder="1" applyAlignment="1">
      <alignment horizontal="center" vertical="center"/>
    </xf>
    <xf numFmtId="0" fontId="154" fillId="0" borderId="83" xfId="80" applyFont="1" applyBorder="1" applyAlignment="1">
      <alignment horizontal="center" vertical="center" wrapText="1"/>
    </xf>
    <xf numFmtId="0" fontId="154" fillId="0" borderId="83" xfId="65" applyFont="1" applyBorder="1" applyAlignment="1">
      <alignment horizontal="center" vertical="center" wrapText="1"/>
    </xf>
    <xf numFmtId="0" fontId="154" fillId="0" borderId="83" xfId="80" applyFont="1" applyBorder="1" applyAlignment="1">
      <alignment horizontal="center" vertical="center" wrapText="1" shrinkToFit="1"/>
    </xf>
    <xf numFmtId="167" fontId="153" fillId="0" borderId="83" xfId="80" applyNumberFormat="1" applyFont="1" applyBorder="1" applyAlignment="1">
      <alignment horizontal="center" vertical="center"/>
    </xf>
    <xf numFmtId="0" fontId="156" fillId="0" borderId="83" xfId="80" applyFont="1" applyBorder="1" applyAlignment="1">
      <alignment horizontal="center" vertical="center" wrapText="1"/>
    </xf>
    <xf numFmtId="168" fontId="154" fillId="0" borderId="83" xfId="80" applyNumberFormat="1" applyFont="1" applyBorder="1" applyAlignment="1">
      <alignment horizontal="center" vertical="center"/>
    </xf>
    <xf numFmtId="0" fontId="156" fillId="0" borderId="83" xfId="80" applyFont="1" applyBorder="1" applyAlignment="1">
      <alignment horizontal="center" vertical="center"/>
    </xf>
    <xf numFmtId="173" fontId="156" fillId="0" borderId="83" xfId="80" applyNumberFormat="1" applyFont="1" applyBorder="1" applyAlignment="1">
      <alignment horizontal="center" vertical="center" wrapText="1"/>
    </xf>
    <xf numFmtId="189" fontId="154" fillId="0" borderId="83" xfId="80" applyNumberFormat="1" applyFont="1" applyBorder="1" applyAlignment="1">
      <alignment horizontal="center" vertical="center" wrapText="1"/>
    </xf>
    <xf numFmtId="166" fontId="154" fillId="0" borderId="83" xfId="80" applyNumberFormat="1" applyFont="1" applyBorder="1" applyAlignment="1">
      <alignment horizontal="center" vertical="center" wrapText="1"/>
    </xf>
    <xf numFmtId="2" fontId="154" fillId="0" borderId="83" xfId="80" applyNumberFormat="1" applyFont="1" applyBorder="1" applyAlignment="1">
      <alignment horizontal="center" vertical="center" wrapText="1"/>
    </xf>
    <xf numFmtId="0" fontId="154" fillId="0" borderId="79" xfId="80" applyFont="1" applyBorder="1" applyAlignment="1">
      <alignment horizontal="center" vertical="center" wrapText="1"/>
    </xf>
    <xf numFmtId="0" fontId="154" fillId="0" borderId="79" xfId="65" applyFont="1" applyBorder="1" applyAlignment="1">
      <alignment horizontal="center" vertical="center" wrapText="1"/>
    </xf>
    <xf numFmtId="0" fontId="154" fillId="0" borderId="79" xfId="80" applyFont="1" applyBorder="1" applyAlignment="1">
      <alignment horizontal="center" vertical="center" wrapText="1" shrinkToFit="1"/>
    </xf>
    <xf numFmtId="167" fontId="153" fillId="0" borderId="79" xfId="80" applyNumberFormat="1" applyFont="1" applyBorder="1" applyAlignment="1">
      <alignment horizontal="center" vertical="center"/>
    </xf>
    <xf numFmtId="0" fontId="156" fillId="0" borderId="79" xfId="80" applyFont="1" applyBorder="1" applyAlignment="1">
      <alignment horizontal="center" vertical="center" wrapText="1"/>
    </xf>
    <xf numFmtId="2" fontId="154" fillId="0" borderId="79" xfId="80" applyNumberFormat="1" applyFont="1" applyBorder="1" applyAlignment="1">
      <alignment horizontal="center" vertical="center" wrapText="1"/>
    </xf>
    <xf numFmtId="0" fontId="156" fillId="0" borderId="79" xfId="80" applyFont="1" applyBorder="1" applyAlignment="1">
      <alignment horizontal="center" vertical="center"/>
    </xf>
    <xf numFmtId="173" fontId="156" fillId="0" borderId="79" xfId="80" applyNumberFormat="1" applyFont="1" applyBorder="1" applyAlignment="1">
      <alignment horizontal="center" vertical="center" wrapText="1"/>
    </xf>
    <xf numFmtId="189" fontId="154" fillId="0" borderId="79" xfId="80" applyNumberFormat="1" applyFont="1" applyBorder="1" applyAlignment="1">
      <alignment horizontal="center" vertical="center" wrapText="1"/>
    </xf>
    <xf numFmtId="166" fontId="154" fillId="0" borderId="79" xfId="80" applyNumberFormat="1" applyFont="1" applyBorder="1" applyAlignment="1">
      <alignment horizontal="center" vertical="center" wrapText="1"/>
    </xf>
    <xf numFmtId="0" fontId="154" fillId="0" borderId="80" xfId="80" applyFont="1" applyBorder="1" applyAlignment="1">
      <alignment horizontal="center" vertical="center" wrapText="1"/>
    </xf>
    <xf numFmtId="0" fontId="154" fillId="0" borderId="80" xfId="65" applyFont="1" applyBorder="1" applyAlignment="1">
      <alignment horizontal="center" vertical="center" wrapText="1"/>
    </xf>
    <xf numFmtId="0" fontId="154" fillId="0" borderId="80" xfId="80" applyFont="1" applyBorder="1" applyAlignment="1">
      <alignment horizontal="center" vertical="center" wrapText="1" shrinkToFit="1"/>
    </xf>
    <xf numFmtId="167" fontId="153" fillId="0" borderId="80" xfId="80" applyNumberFormat="1" applyFont="1" applyBorder="1" applyAlignment="1">
      <alignment horizontal="center" vertical="center"/>
    </xf>
    <xf numFmtId="0" fontId="156" fillId="0" borderId="80" xfId="80" applyFont="1" applyBorder="1" applyAlignment="1">
      <alignment horizontal="center" vertical="center" wrapText="1"/>
    </xf>
    <xf numFmtId="2" fontId="154" fillId="0" borderId="80" xfId="80" applyNumberFormat="1" applyFont="1" applyBorder="1" applyAlignment="1">
      <alignment horizontal="center" vertical="center" wrapText="1"/>
    </xf>
    <xf numFmtId="0" fontId="156" fillId="0" borderId="80" xfId="80" applyFont="1" applyBorder="1" applyAlignment="1">
      <alignment horizontal="center" vertical="center"/>
    </xf>
    <xf numFmtId="173" fontId="156" fillId="0" borderId="80" xfId="80" applyNumberFormat="1" applyFont="1" applyBorder="1" applyAlignment="1">
      <alignment horizontal="center" vertical="center" wrapText="1"/>
    </xf>
    <xf numFmtId="189" fontId="154" fillId="0" borderId="80" xfId="80" applyNumberFormat="1" applyFont="1" applyBorder="1" applyAlignment="1">
      <alignment horizontal="center" vertical="center" wrapText="1"/>
    </xf>
    <xf numFmtId="166" fontId="154" fillId="0" borderId="80" xfId="80" applyNumberFormat="1" applyFont="1" applyBorder="1" applyAlignment="1">
      <alignment horizontal="center" vertical="center" wrapText="1"/>
    </xf>
    <xf numFmtId="0" fontId="154" fillId="0" borderId="83" xfId="63" applyFont="1" applyBorder="1" applyAlignment="1">
      <alignment horizontal="center" vertical="center" wrapText="1"/>
    </xf>
    <xf numFmtId="0" fontId="154" fillId="0" borderId="83" xfId="80" applyFont="1" applyBorder="1" applyAlignment="1">
      <alignment horizontal="center" vertical="center"/>
    </xf>
    <xf numFmtId="189" fontId="154" fillId="0" borderId="0" xfId="80" applyNumberFormat="1" applyFont="1" applyAlignment="1">
      <alignment horizontal="center" vertical="center" wrapText="1"/>
    </xf>
    <xf numFmtId="2" fontId="156" fillId="0" borderId="79" xfId="80" applyNumberFormat="1" applyFont="1" applyBorder="1" applyAlignment="1">
      <alignment horizontal="center" vertical="center" wrapText="1"/>
    </xf>
    <xf numFmtId="0" fontId="154" fillId="0" borderId="80" xfId="63" applyFont="1" applyBorder="1" applyAlignment="1">
      <alignment horizontal="center" vertical="center" wrapText="1"/>
    </xf>
    <xf numFmtId="0" fontId="154" fillId="0" borderId="80" xfId="80" applyFont="1" applyBorder="1" applyAlignment="1">
      <alignment horizontal="center" vertical="center"/>
    </xf>
    <xf numFmtId="2" fontId="156" fillId="0" borderId="80" xfId="80" applyNumberFormat="1" applyFont="1" applyBorder="1" applyAlignment="1">
      <alignment horizontal="center" vertical="center" wrapText="1"/>
    </xf>
    <xf numFmtId="0" fontId="154" fillId="0" borderId="79" xfId="63" applyFont="1" applyBorder="1" applyAlignment="1">
      <alignment horizontal="center" vertical="center" wrapText="1"/>
    </xf>
    <xf numFmtId="0" fontId="154" fillId="0" borderId="79" xfId="80" applyFont="1" applyBorder="1" applyAlignment="1">
      <alignment horizontal="center" vertical="center"/>
    </xf>
    <xf numFmtId="189" fontId="156" fillId="0" borderId="79" xfId="80" applyNumberFormat="1" applyFont="1" applyBorder="1" applyAlignment="1">
      <alignment horizontal="center" vertical="center" wrapText="1"/>
    </xf>
    <xf numFmtId="189" fontId="156" fillId="0" borderId="80" xfId="80" applyNumberFormat="1" applyFont="1" applyBorder="1" applyAlignment="1">
      <alignment horizontal="center" vertical="center" wrapText="1"/>
    </xf>
    <xf numFmtId="209" fontId="149" fillId="0" borderId="79" xfId="80" applyNumberFormat="1" applyFont="1" applyBorder="1" applyAlignment="1">
      <alignment horizontal="center" vertical="center"/>
    </xf>
    <xf numFmtId="190" fontId="149" fillId="0" borderId="79" xfId="80" applyNumberFormat="1" applyFont="1" applyBorder="1" applyAlignment="1">
      <alignment horizontal="center" vertical="center"/>
    </xf>
    <xf numFmtId="1" fontId="154" fillId="0" borderId="83" xfId="63" applyNumberFormat="1" applyFont="1" applyBorder="1" applyAlignment="1">
      <alignment horizontal="center" vertical="center" wrapText="1"/>
    </xf>
    <xf numFmtId="166" fontId="154" fillId="0" borderId="83" xfId="63" quotePrefix="1" applyNumberFormat="1" applyFont="1" applyBorder="1" applyAlignment="1">
      <alignment horizontal="center" vertical="center"/>
    </xf>
    <xf numFmtId="182" fontId="154" fillId="0" borderId="83" xfId="65" quotePrefix="1" applyNumberFormat="1" applyFont="1" applyBorder="1" applyAlignment="1">
      <alignment horizontal="center" vertical="center" shrinkToFit="1"/>
    </xf>
    <xf numFmtId="3" fontId="154" fillId="0" borderId="83" xfId="65" quotePrefix="1" applyNumberFormat="1" applyFont="1" applyBorder="1" applyAlignment="1">
      <alignment horizontal="center" vertical="center" shrinkToFit="1"/>
    </xf>
    <xf numFmtId="170" fontId="154" fillId="0" borderId="83" xfId="63" applyNumberFormat="1" applyFont="1" applyBorder="1" applyAlignment="1">
      <alignment horizontal="center" vertical="center" wrapText="1"/>
    </xf>
    <xf numFmtId="4" fontId="154" fillId="0" borderId="83" xfId="65" quotePrefix="1" applyNumberFormat="1" applyFont="1" applyBorder="1" applyAlignment="1">
      <alignment horizontal="center" vertical="center" shrinkToFit="1"/>
    </xf>
    <xf numFmtId="181" fontId="154" fillId="0" borderId="83" xfId="65" quotePrefix="1" applyNumberFormat="1" applyFont="1" applyBorder="1" applyAlignment="1">
      <alignment horizontal="center" vertical="center" wrapText="1" shrinkToFit="1"/>
    </xf>
    <xf numFmtId="181" fontId="154" fillId="0" borderId="83" xfId="65" quotePrefix="1" applyNumberFormat="1" applyFont="1" applyBorder="1" applyAlignment="1">
      <alignment horizontal="center" vertical="center" shrinkToFit="1"/>
    </xf>
    <xf numFmtId="181" fontId="154" fillId="0" borderId="83" xfId="65" applyNumberFormat="1" applyFont="1" applyBorder="1" applyAlignment="1">
      <alignment horizontal="center" vertical="center" shrinkToFit="1"/>
    </xf>
    <xf numFmtId="181" fontId="154" fillId="0" borderId="83" xfId="65" applyNumberFormat="1" applyFont="1" applyBorder="1" applyAlignment="1">
      <alignment horizontal="center" vertical="center"/>
    </xf>
    <xf numFmtId="0" fontId="154" fillId="0" borderId="83" xfId="63" quotePrefix="1" applyFont="1" applyBorder="1" applyAlignment="1">
      <alignment horizontal="center" vertical="center" wrapText="1"/>
    </xf>
    <xf numFmtId="1" fontId="154" fillId="0" borderId="82" xfId="63" applyNumberFormat="1" applyFont="1" applyBorder="1" applyAlignment="1">
      <alignment horizontal="center" vertical="center" wrapText="1"/>
    </xf>
    <xf numFmtId="166" fontId="154" fillId="0" borderId="82" xfId="63" quotePrefix="1" applyNumberFormat="1" applyFont="1" applyBorder="1" applyAlignment="1">
      <alignment horizontal="center" vertical="center"/>
    </xf>
    <xf numFmtId="182" fontId="154" fillId="0" borderId="82" xfId="65" quotePrefix="1" applyNumberFormat="1" applyFont="1" applyBorder="1" applyAlignment="1">
      <alignment horizontal="center" vertical="center" shrinkToFit="1"/>
    </xf>
    <xf numFmtId="3" fontId="154" fillId="0" borderId="82" xfId="65" quotePrefix="1" applyNumberFormat="1" applyFont="1" applyBorder="1" applyAlignment="1">
      <alignment horizontal="center" vertical="center" shrinkToFit="1"/>
    </xf>
    <xf numFmtId="170" fontId="154" fillId="0" borderId="82" xfId="63" applyNumberFormat="1" applyFont="1" applyBorder="1" applyAlignment="1">
      <alignment horizontal="center" vertical="center" wrapText="1"/>
    </xf>
    <xf numFmtId="4" fontId="154" fillId="0" borderId="82" xfId="65" quotePrefix="1" applyNumberFormat="1" applyFont="1" applyBorder="1" applyAlignment="1">
      <alignment horizontal="center" vertical="center" shrinkToFit="1"/>
    </xf>
    <xf numFmtId="181" fontId="154" fillId="0" borderId="82" xfId="65" quotePrefix="1" applyNumberFormat="1" applyFont="1" applyBorder="1" applyAlignment="1">
      <alignment horizontal="center" vertical="center" wrapText="1" shrinkToFit="1"/>
    </xf>
    <xf numFmtId="181" fontId="154" fillId="0" borderId="82" xfId="65" quotePrefix="1" applyNumberFormat="1" applyFont="1" applyBorder="1" applyAlignment="1">
      <alignment horizontal="center" vertical="center" shrinkToFit="1"/>
    </xf>
    <xf numFmtId="181" fontId="154" fillId="0" borderId="82" xfId="65" applyNumberFormat="1" applyFont="1" applyBorder="1" applyAlignment="1">
      <alignment horizontal="center" vertical="center" shrinkToFit="1"/>
    </xf>
    <xf numFmtId="181" fontId="154" fillId="0" borderId="82" xfId="65" applyNumberFormat="1" applyFont="1" applyBorder="1" applyAlignment="1">
      <alignment horizontal="center" vertical="center"/>
    </xf>
    <xf numFmtId="0" fontId="154" fillId="0" borderId="82" xfId="63" quotePrefix="1" applyFont="1" applyBorder="1" applyAlignment="1">
      <alignment horizontal="center" vertical="center" wrapText="1"/>
    </xf>
    <xf numFmtId="1" fontId="154" fillId="0" borderId="80" xfId="63" applyNumberFormat="1" applyFont="1" applyBorder="1" applyAlignment="1">
      <alignment horizontal="center" vertical="center" wrapText="1"/>
    </xf>
    <xf numFmtId="166" fontId="154" fillId="0" borderId="80" xfId="63" quotePrefix="1" applyNumberFormat="1" applyFont="1" applyBorder="1" applyAlignment="1">
      <alignment horizontal="center" vertical="center"/>
    </xf>
    <xf numFmtId="182" fontId="154" fillId="0" borderId="80" xfId="65" quotePrefix="1" applyNumberFormat="1" applyFont="1" applyBorder="1" applyAlignment="1">
      <alignment horizontal="center" vertical="center" shrinkToFit="1"/>
    </xf>
    <xf numFmtId="3" fontId="154" fillId="0" borderId="80" xfId="65" quotePrefix="1" applyNumberFormat="1" applyFont="1" applyBorder="1" applyAlignment="1">
      <alignment horizontal="center" vertical="center" shrinkToFit="1"/>
    </xf>
    <xf numFmtId="170" fontId="154" fillId="0" borderId="80" xfId="63" applyNumberFormat="1" applyFont="1" applyBorder="1" applyAlignment="1">
      <alignment horizontal="center" vertical="center" wrapText="1"/>
    </xf>
    <xf numFmtId="4" fontId="154" fillId="0" borderId="80" xfId="65" quotePrefix="1" applyNumberFormat="1" applyFont="1" applyBorder="1" applyAlignment="1">
      <alignment horizontal="center" vertical="center" shrinkToFit="1"/>
    </xf>
    <xf numFmtId="181" fontId="154" fillId="0" borderId="80" xfId="65" quotePrefix="1" applyNumberFormat="1" applyFont="1" applyBorder="1" applyAlignment="1">
      <alignment horizontal="center" vertical="center" wrapText="1" shrinkToFit="1"/>
    </xf>
    <xf numFmtId="181" fontId="154" fillId="0" borderId="80" xfId="65" quotePrefix="1" applyNumberFormat="1" applyFont="1" applyBorder="1" applyAlignment="1">
      <alignment horizontal="center" vertical="center" shrinkToFit="1"/>
    </xf>
    <xf numFmtId="181" fontId="154" fillId="0" borderId="80" xfId="65" applyNumberFormat="1" applyFont="1" applyBorder="1" applyAlignment="1">
      <alignment horizontal="center" vertical="center" shrinkToFit="1"/>
    </xf>
    <xf numFmtId="181" fontId="154" fillId="0" borderId="80" xfId="65" applyNumberFormat="1" applyFont="1" applyBorder="1" applyAlignment="1">
      <alignment horizontal="center" vertical="center"/>
    </xf>
    <xf numFmtId="0" fontId="154" fillId="0" borderId="80" xfId="63" quotePrefix="1" applyFont="1" applyBorder="1" applyAlignment="1">
      <alignment horizontal="center" vertical="center" wrapText="1"/>
    </xf>
    <xf numFmtId="167" fontId="149" fillId="50" borderId="78" xfId="0" applyNumberFormat="1" applyFont="1" applyFill="1" applyBorder="1" applyAlignment="1">
      <alignment horizontal="center" vertical="center"/>
    </xf>
    <xf numFmtId="167" fontId="153" fillId="0" borderId="83" xfId="65" applyNumberFormat="1" applyFont="1" applyBorder="1" applyAlignment="1">
      <alignment horizontal="center" vertical="center"/>
    </xf>
    <xf numFmtId="167" fontId="153" fillId="0" borderId="82" xfId="65" applyNumberFormat="1" applyFont="1" applyBorder="1" applyAlignment="1">
      <alignment horizontal="center" vertical="center"/>
    </xf>
    <xf numFmtId="167" fontId="153" fillId="0" borderId="80" xfId="65" applyNumberFormat="1" applyFont="1" applyBorder="1" applyAlignment="1">
      <alignment horizontal="center" vertical="center"/>
    </xf>
    <xf numFmtId="166" fontId="156" fillId="0" borderId="83" xfId="0" applyNumberFormat="1" applyFont="1" applyBorder="1" applyAlignment="1">
      <alignment horizontal="center" vertical="center" wrapText="1"/>
    </xf>
    <xf numFmtId="0" fontId="156" fillId="0" borderId="83" xfId="0" applyFont="1" applyBorder="1" applyAlignment="1">
      <alignment horizontal="center" vertical="center" wrapText="1"/>
    </xf>
    <xf numFmtId="2" fontId="156" fillId="0" borderId="83" xfId="0" applyNumberFormat="1" applyFont="1" applyBorder="1" applyAlignment="1">
      <alignment horizontal="center" vertical="center" wrapText="1"/>
    </xf>
    <xf numFmtId="173" fontId="156" fillId="0" borderId="83" xfId="0" applyNumberFormat="1" applyFont="1" applyBorder="1" applyAlignment="1">
      <alignment horizontal="center" vertical="center" wrapText="1"/>
    </xf>
    <xf numFmtId="10" fontId="154" fillId="0" borderId="83" xfId="0" applyNumberFormat="1" applyFont="1" applyBorder="1" applyAlignment="1">
      <alignment horizontal="center" vertical="center" wrapText="1"/>
    </xf>
    <xf numFmtId="167" fontId="154" fillId="0" borderId="83" xfId="0" applyNumberFormat="1" applyFont="1" applyBorder="1" applyAlignment="1">
      <alignment horizontal="center" vertical="center"/>
    </xf>
    <xf numFmtId="189" fontId="156" fillId="0" borderId="83" xfId="0" applyNumberFormat="1" applyFont="1" applyBorder="1" applyAlignment="1">
      <alignment horizontal="center" vertical="center" wrapText="1"/>
    </xf>
    <xf numFmtId="42" fontId="156" fillId="0" borderId="83" xfId="81" applyFont="1" applyFill="1" applyBorder="1" applyAlignment="1" applyProtection="1">
      <alignment horizontal="left" vertical="center"/>
    </xf>
    <xf numFmtId="42" fontId="156" fillId="0" borderId="83" xfId="81" applyFont="1" applyFill="1" applyBorder="1" applyAlignment="1" applyProtection="1">
      <alignment horizontal="center" vertical="center" wrapText="1"/>
    </xf>
    <xf numFmtId="167" fontId="156" fillId="0" borderId="83" xfId="81" applyNumberFormat="1" applyFont="1" applyFill="1" applyBorder="1" applyAlignment="1" applyProtection="1">
      <alignment horizontal="center" vertical="center" wrapText="1"/>
    </xf>
    <xf numFmtId="1" fontId="154" fillId="0" borderId="83" xfId="0" applyNumberFormat="1" applyFont="1" applyBorder="1" applyAlignment="1">
      <alignment horizontal="center" vertical="center" wrapText="1"/>
    </xf>
    <xf numFmtId="1" fontId="156" fillId="0" borderId="83" xfId="81" applyNumberFormat="1" applyFont="1" applyFill="1" applyBorder="1" applyAlignment="1" applyProtection="1">
      <alignment horizontal="center" vertical="center" wrapText="1"/>
    </xf>
    <xf numFmtId="0" fontId="156" fillId="0" borderId="83" xfId="81" applyNumberFormat="1" applyFont="1" applyFill="1" applyBorder="1" applyAlignment="1" applyProtection="1">
      <alignment horizontal="center" vertical="center" wrapText="1"/>
    </xf>
    <xf numFmtId="166" fontId="156" fillId="0" borderId="80" xfId="0" applyNumberFormat="1" applyFont="1" applyBorder="1" applyAlignment="1">
      <alignment horizontal="center" vertical="center" wrapText="1"/>
    </xf>
    <xf numFmtId="0" fontId="156" fillId="0" borderId="80" xfId="0" applyFont="1" applyBorder="1" applyAlignment="1">
      <alignment horizontal="center" vertical="center" wrapText="1"/>
    </xf>
    <xf numFmtId="2" fontId="156" fillId="0" borderId="80" xfId="0" applyNumberFormat="1" applyFont="1" applyBorder="1" applyAlignment="1">
      <alignment horizontal="center" vertical="center" wrapText="1"/>
    </xf>
    <xf numFmtId="173" fontId="156" fillId="0" borderId="80" xfId="0" applyNumberFormat="1" applyFont="1" applyBorder="1" applyAlignment="1">
      <alignment horizontal="center" vertical="center" wrapText="1"/>
    </xf>
    <xf numFmtId="10" fontId="154" fillId="0" borderId="80" xfId="0" applyNumberFormat="1" applyFont="1" applyBorder="1" applyAlignment="1">
      <alignment horizontal="center" vertical="center" wrapText="1"/>
    </xf>
    <xf numFmtId="167" fontId="154" fillId="0" borderId="80" xfId="0" applyNumberFormat="1" applyFont="1" applyBorder="1" applyAlignment="1">
      <alignment horizontal="center" vertical="center"/>
    </xf>
    <xf numFmtId="189" fontId="156" fillId="0" borderId="80" xfId="0" applyNumberFormat="1" applyFont="1" applyBorder="1" applyAlignment="1">
      <alignment horizontal="center" vertical="center" wrapText="1"/>
    </xf>
    <xf numFmtId="42" fontId="156" fillId="0" borderId="80" xfId="81" applyFont="1" applyFill="1" applyBorder="1" applyAlignment="1" applyProtection="1">
      <alignment horizontal="center" vertical="center" wrapText="1"/>
    </xf>
    <xf numFmtId="1" fontId="154" fillId="0" borderId="80" xfId="0" applyNumberFormat="1" applyFont="1" applyBorder="1" applyAlignment="1">
      <alignment horizontal="center" vertical="center" wrapText="1"/>
    </xf>
    <xf numFmtId="42" fontId="149" fillId="0" borderId="81" xfId="81" applyFont="1" applyFill="1" applyBorder="1" applyAlignment="1" applyProtection="1">
      <alignment horizontal="center" vertical="center"/>
    </xf>
    <xf numFmtId="0" fontId="20" fillId="0" borderId="0" xfId="63" applyFont="1" applyAlignment="1">
      <alignment vertical="top" wrapText="1"/>
    </xf>
    <xf numFmtId="178" fontId="158" fillId="0" borderId="0" xfId="66" applyFont="1" applyAlignment="1" applyProtection="1">
      <alignment horizontal="left" vertical="top"/>
      <protection locked="0"/>
    </xf>
    <xf numFmtId="0" fontId="143" fillId="0" borderId="0" xfId="87" applyFont="1" applyAlignment="1">
      <alignment horizontal="center" vertical="top"/>
    </xf>
    <xf numFmtId="0" fontId="143" fillId="0" borderId="0" xfId="87" applyFont="1" applyAlignment="1">
      <alignment horizontal="justify" vertical="top"/>
    </xf>
    <xf numFmtId="49" fontId="143" fillId="0" borderId="0" xfId="87" applyNumberFormat="1" applyFont="1" applyAlignment="1">
      <alignment horizontal="justify" vertical="top"/>
    </xf>
    <xf numFmtId="49" fontId="159" fillId="0" borderId="0" xfId="87" applyNumberFormat="1" applyFont="1" applyAlignment="1">
      <alignment horizontal="justify" vertical="top"/>
    </xf>
    <xf numFmtId="0" fontId="159" fillId="0" borderId="0" xfId="63" applyFont="1" applyAlignment="1" applyProtection="1">
      <alignment horizontal="justify" vertical="top" wrapText="1"/>
      <protection locked="0"/>
    </xf>
    <xf numFmtId="0" fontId="159" fillId="0" borderId="0" xfId="63" applyFont="1" applyAlignment="1" applyProtection="1">
      <alignment vertical="top" wrapText="1"/>
      <protection locked="0"/>
    </xf>
    <xf numFmtId="0" fontId="162" fillId="0" borderId="0" xfId="63" applyFont="1" applyAlignment="1" applyProtection="1">
      <alignment horizontal="justify" vertical="top" wrapText="1"/>
      <protection locked="0"/>
    </xf>
    <xf numFmtId="0" fontId="162" fillId="0" borderId="0" xfId="63" applyFont="1" applyAlignment="1" applyProtection="1">
      <alignment horizontal="justify" vertical="top"/>
      <protection locked="0"/>
    </xf>
    <xf numFmtId="0" fontId="162" fillId="0" borderId="0" xfId="63" applyFont="1" applyAlignment="1" applyProtection="1">
      <alignment vertical="top"/>
      <protection locked="0"/>
    </xf>
    <xf numFmtId="0" fontId="159" fillId="0" borderId="0" xfId="63" applyFont="1" applyAlignment="1" applyProtection="1">
      <alignment vertical="top"/>
      <protection locked="0"/>
    </xf>
    <xf numFmtId="0" fontId="154" fillId="0" borderId="0" xfId="63" applyFont="1" applyAlignment="1" applyProtection="1">
      <alignment vertical="top"/>
      <protection locked="0"/>
    </xf>
    <xf numFmtId="0" fontId="18" fillId="0" borderId="0" xfId="63" applyAlignment="1" applyProtection="1">
      <alignment vertical="top"/>
      <protection locked="0"/>
    </xf>
    <xf numFmtId="178" fontId="162" fillId="0" borderId="0" xfId="90" applyFont="1" applyAlignment="1">
      <alignment horizontal="justify" vertical="center" wrapText="1"/>
    </xf>
    <xf numFmtId="0" fontId="177" fillId="0" borderId="0" xfId="0" applyFont="1" applyAlignment="1">
      <alignment horizontal="center" vertical="center"/>
    </xf>
    <xf numFmtId="0" fontId="175" fillId="0" borderId="0" xfId="0" applyFont="1" applyAlignment="1">
      <alignment horizontal="center" vertical="center"/>
    </xf>
    <xf numFmtId="1" fontId="18" fillId="27" borderId="15" xfId="0" applyNumberFormat="1" applyFont="1" applyFill="1" applyBorder="1" applyAlignment="1">
      <alignment horizontal="center" vertical="center"/>
    </xf>
    <xf numFmtId="212" fontId="149" fillId="0" borderId="81" xfId="80" applyNumberFormat="1" applyFont="1" applyBorder="1" applyAlignment="1" applyProtection="1">
      <alignment horizontal="center" vertical="center"/>
      <protection locked="0"/>
    </xf>
    <xf numFmtId="0" fontId="18" fillId="24" borderId="0" xfId="0" applyFont="1" applyFill="1" applyAlignment="1">
      <alignment horizontal="center" vertical="center" wrapText="1"/>
    </xf>
    <xf numFmtId="0" fontId="18" fillId="0" borderId="0" xfId="0" applyFont="1" applyAlignment="1">
      <alignment horizontal="left" vertical="center"/>
    </xf>
    <xf numFmtId="181" fontId="154" fillId="0" borderId="83" xfId="65" applyNumberFormat="1" applyFont="1" applyBorder="1" applyAlignment="1">
      <alignment horizontal="center" vertical="center" wrapText="1" shrinkToFit="1"/>
    </xf>
    <xf numFmtId="42" fontId="90" fillId="27" borderId="15" xfId="84" applyFont="1" applyFill="1" applyBorder="1" applyAlignment="1" applyProtection="1">
      <alignment horizontal="center" vertical="center" wrapText="1"/>
      <protection locked="0"/>
    </xf>
    <xf numFmtId="42" fontId="90" fillId="0" borderId="15" xfId="84" applyFont="1" applyFill="1" applyBorder="1" applyAlignment="1" applyProtection="1">
      <alignment horizontal="center" vertical="center" wrapText="1"/>
      <protection locked="0"/>
    </xf>
    <xf numFmtId="194" fontId="90" fillId="0" borderId="15" xfId="0" applyNumberFormat="1" applyFont="1" applyBorder="1" applyAlignment="1" applyProtection="1">
      <alignment horizontal="center" vertical="center" wrapText="1"/>
      <protection locked="0"/>
    </xf>
    <xf numFmtId="11" fontId="90" fillId="0" borderId="15" xfId="0" applyNumberFormat="1" applyFont="1" applyBorder="1" applyAlignment="1" applyProtection="1">
      <alignment horizontal="center" vertical="center" wrapText="1"/>
      <protection locked="0"/>
    </xf>
    <xf numFmtId="0" fontId="90" fillId="0" borderId="15" xfId="0" applyFont="1" applyBorder="1" applyAlignment="1" applyProtection="1">
      <alignment horizontal="center" vertical="center" wrapText="1"/>
      <protection locked="0"/>
    </xf>
    <xf numFmtId="1" fontId="89" fillId="0" borderId="15" xfId="0" applyNumberFormat="1" applyFont="1" applyBorder="1" applyAlignment="1" applyProtection="1">
      <alignment horizontal="center" vertical="center" wrapText="1"/>
      <protection locked="0"/>
    </xf>
    <xf numFmtId="42" fontId="179" fillId="0" borderId="15" xfId="84" applyFont="1" applyFill="1" applyBorder="1" applyAlignment="1" applyProtection="1">
      <alignment horizontal="center" vertical="center" wrapText="1"/>
      <protection locked="0"/>
    </xf>
    <xf numFmtId="173" fontId="18" fillId="27" borderId="15" xfId="0" applyNumberFormat="1" applyFont="1" applyFill="1" applyBorder="1" applyAlignment="1">
      <alignment horizontal="center"/>
    </xf>
    <xf numFmtId="173" fontId="18" fillId="27" borderId="19" xfId="0" applyNumberFormat="1" applyFont="1" applyFill="1" applyBorder="1" applyAlignment="1">
      <alignment horizontal="center"/>
    </xf>
    <xf numFmtId="0" fontId="133" fillId="0" borderId="17" xfId="87" applyFont="1" applyBorder="1" applyAlignment="1" applyProtection="1">
      <alignment horizontal="center" vertical="center"/>
      <protection locked="0"/>
    </xf>
    <xf numFmtId="0" fontId="133" fillId="0" borderId="34" xfId="87" applyFont="1" applyBorder="1" applyAlignment="1" applyProtection="1">
      <alignment horizontal="center" vertical="center"/>
      <protection locked="0"/>
    </xf>
    <xf numFmtId="0" fontId="181" fillId="55" borderId="52" xfId="0" applyFont="1" applyFill="1" applyBorder="1" applyAlignment="1">
      <alignment horizontal="center" vertical="center" wrapText="1"/>
    </xf>
    <xf numFmtId="0" fontId="181" fillId="55" borderId="36" xfId="0" applyFont="1" applyFill="1" applyBorder="1" applyAlignment="1">
      <alignment horizontal="center" vertical="center" wrapText="1"/>
    </xf>
    <xf numFmtId="0" fontId="181" fillId="56" borderId="52" xfId="0" applyFont="1" applyFill="1" applyBorder="1" applyAlignment="1">
      <alignment horizontal="center" vertical="center" wrapText="1"/>
    </xf>
    <xf numFmtId="0" fontId="181" fillId="56" borderId="36" xfId="0" applyFont="1" applyFill="1" applyBorder="1" applyAlignment="1">
      <alignment horizontal="center" vertical="center" wrapText="1"/>
    </xf>
    <xf numFmtId="0" fontId="181" fillId="57" borderId="52" xfId="0" applyFont="1" applyFill="1" applyBorder="1" applyAlignment="1">
      <alignment horizontal="center" vertical="center" wrapText="1"/>
    </xf>
    <xf numFmtId="0" fontId="181" fillId="57" borderId="36" xfId="0" applyFont="1" applyFill="1" applyBorder="1" applyAlignment="1">
      <alignment horizontal="center" vertical="center" wrapText="1"/>
    </xf>
    <xf numFmtId="0" fontId="181" fillId="0" borderId="107" xfId="0" applyFont="1" applyBorder="1" applyAlignment="1">
      <alignment vertical="center"/>
    </xf>
    <xf numFmtId="0" fontId="180" fillId="0" borderId="36" xfId="0" applyFont="1" applyBorder="1" applyAlignment="1">
      <alignment horizontal="center" vertical="center"/>
    </xf>
    <xf numFmtId="0" fontId="181" fillId="58" borderId="107" xfId="0" applyFont="1" applyFill="1" applyBorder="1" applyAlignment="1">
      <alignment vertical="center"/>
    </xf>
    <xf numFmtId="0" fontId="180" fillId="58" borderId="36" xfId="0" applyFont="1" applyFill="1" applyBorder="1" applyAlignment="1">
      <alignment horizontal="center" vertical="center"/>
    </xf>
    <xf numFmtId="0" fontId="181" fillId="52" borderId="46" xfId="0" applyFont="1" applyFill="1" applyBorder="1" applyAlignment="1">
      <alignment horizontal="center" vertical="center"/>
    </xf>
    <xf numFmtId="0" fontId="181" fillId="53" borderId="46" xfId="0" applyFont="1" applyFill="1" applyBorder="1" applyAlignment="1">
      <alignment horizontal="center" vertical="center"/>
    </xf>
    <xf numFmtId="0" fontId="181" fillId="55" borderId="105" xfId="0" applyFont="1" applyFill="1" applyBorder="1" applyAlignment="1">
      <alignment horizontal="center" vertical="center" wrapText="1"/>
    </xf>
    <xf numFmtId="0" fontId="181" fillId="55" borderId="107" xfId="0" applyFont="1" applyFill="1" applyBorder="1" applyAlignment="1">
      <alignment horizontal="center" vertical="center" wrapText="1"/>
    </xf>
    <xf numFmtId="0" fontId="181" fillId="56" borderId="105" xfId="0" applyFont="1" applyFill="1" applyBorder="1" applyAlignment="1">
      <alignment horizontal="center" vertical="center" wrapText="1"/>
    </xf>
    <xf numFmtId="0" fontId="181" fillId="56" borderId="107" xfId="0" applyFont="1" applyFill="1" applyBorder="1" applyAlignment="1">
      <alignment horizontal="center" vertical="center" wrapText="1"/>
    </xf>
    <xf numFmtId="0" fontId="184" fillId="59" borderId="107" xfId="0" applyFont="1" applyFill="1" applyBorder="1" applyAlignment="1">
      <alignment horizontal="center" vertical="center"/>
    </xf>
    <xf numFmtId="0" fontId="185" fillId="43" borderId="36" xfId="0" applyFont="1" applyFill="1" applyBorder="1" applyAlignment="1">
      <alignment horizontal="center" vertical="center"/>
    </xf>
    <xf numFmtId="0" fontId="185" fillId="60" borderId="36" xfId="0" applyFont="1" applyFill="1" applyBorder="1" applyAlignment="1">
      <alignment horizontal="center" vertical="center"/>
    </xf>
    <xf numFmtId="0" fontId="186" fillId="0" borderId="107" xfId="0" applyFont="1" applyBorder="1" applyAlignment="1">
      <alignment vertical="center"/>
    </xf>
    <xf numFmtId="0" fontId="186" fillId="0" borderId="36" xfId="0" applyFont="1" applyBorder="1" applyAlignment="1">
      <alignment vertical="center"/>
    </xf>
    <xf numFmtId="0" fontId="186" fillId="0" borderId="106" xfId="0" applyFont="1" applyBorder="1" applyAlignment="1">
      <alignment vertical="center"/>
    </xf>
    <xf numFmtId="0" fontId="186" fillId="0" borderId="52" xfId="0" applyFont="1" applyBorder="1" applyAlignment="1">
      <alignment vertical="center" wrapText="1"/>
    </xf>
    <xf numFmtId="0" fontId="0" fillId="0" borderId="52" xfId="0" applyBorder="1" applyAlignment="1">
      <alignment vertical="center" wrapText="1"/>
    </xf>
    <xf numFmtId="0" fontId="186" fillId="0" borderId="36" xfId="0" applyFont="1" applyBorder="1" applyAlignment="1">
      <alignment vertical="center" wrapText="1"/>
    </xf>
    <xf numFmtId="0" fontId="186" fillId="0" borderId="52" xfId="0" applyFont="1" applyBorder="1" applyAlignment="1">
      <alignment vertical="center"/>
    </xf>
    <xf numFmtId="0" fontId="181" fillId="54" borderId="0" xfId="0" applyFont="1" applyFill="1" applyAlignment="1">
      <alignment horizontal="center" vertical="center"/>
    </xf>
    <xf numFmtId="0" fontId="181" fillId="57" borderId="0" xfId="0" applyFont="1" applyFill="1" applyAlignment="1">
      <alignment horizontal="center" vertical="center" wrapText="1"/>
    </xf>
    <xf numFmtId="1" fontId="180" fillId="0" borderId="36" xfId="0" applyNumberFormat="1" applyFont="1" applyBorder="1" applyAlignment="1">
      <alignment horizontal="center" vertical="center"/>
    </xf>
    <xf numFmtId="0" fontId="180" fillId="0" borderId="10" xfId="0" applyFont="1" applyBorder="1" applyAlignment="1">
      <alignment horizontal="center" vertical="center"/>
    </xf>
    <xf numFmtId="1" fontId="180" fillId="0" borderId="15" xfId="0" applyNumberFormat="1" applyFont="1" applyBorder="1" applyAlignment="1">
      <alignment horizontal="center" vertical="center"/>
    </xf>
    <xf numFmtId="1" fontId="180" fillId="0" borderId="15" xfId="0" applyNumberFormat="1" applyFont="1" applyBorder="1" applyAlignment="1">
      <alignment horizontal="center" vertical="center" wrapText="1"/>
    </xf>
    <xf numFmtId="166" fontId="180" fillId="0" borderId="15" xfId="0" applyNumberFormat="1" applyFont="1" applyBorder="1" applyAlignment="1">
      <alignment horizontal="center" vertical="center"/>
    </xf>
    <xf numFmtId="173" fontId="180" fillId="0" borderId="15" xfId="0" applyNumberFormat="1" applyFont="1" applyBorder="1" applyAlignment="1">
      <alignment horizontal="center" vertical="center"/>
    </xf>
    <xf numFmtId="0" fontId="134" fillId="0" borderId="77" xfId="87" applyFont="1" applyBorder="1" applyAlignment="1">
      <alignment vertical="center"/>
    </xf>
    <xf numFmtId="0" fontId="134" fillId="0" borderId="17" xfId="87" applyFont="1" applyBorder="1" applyAlignment="1">
      <alignment vertical="center"/>
    </xf>
    <xf numFmtId="0" fontId="137" fillId="0" borderId="15" xfId="87" applyFont="1" applyBorder="1" applyAlignment="1">
      <alignment vertical="center"/>
    </xf>
    <xf numFmtId="0" fontId="137" fillId="0" borderId="15" xfId="87" applyFont="1" applyBorder="1" applyAlignment="1">
      <alignment horizontal="center" vertical="center" wrapText="1"/>
    </xf>
    <xf numFmtId="0" fontId="137" fillId="0" borderId="15" xfId="87" applyFont="1" applyBorder="1" applyAlignment="1">
      <alignment horizontal="center" vertical="center"/>
    </xf>
    <xf numFmtId="0" fontId="137" fillId="0" borderId="15" xfId="87" applyFont="1" applyBorder="1"/>
    <xf numFmtId="0" fontId="136" fillId="0" borderId="14" xfId="87" applyFont="1" applyBorder="1"/>
    <xf numFmtId="0" fontId="137" fillId="0" borderId="0" xfId="87" applyFont="1" applyAlignment="1">
      <alignment vertical="center"/>
    </xf>
    <xf numFmtId="0" fontId="137" fillId="0" borderId="14" xfId="87" applyFont="1" applyBorder="1" applyAlignment="1">
      <alignment vertical="center"/>
    </xf>
    <xf numFmtId="0" fontId="136" fillId="0" borderId="0" xfId="87" applyFont="1"/>
    <xf numFmtId="0" fontId="133" fillId="0" borderId="0" xfId="87" applyFont="1" applyAlignment="1">
      <alignment horizontal="center" vertical="center"/>
    </xf>
    <xf numFmtId="173" fontId="133" fillId="0" borderId="0" xfId="87" applyNumberFormat="1" applyFont="1" applyAlignment="1">
      <alignment horizontal="center" vertical="center"/>
    </xf>
    <xf numFmtId="173" fontId="131" fillId="0" borderId="15" xfId="87" applyNumberFormat="1" applyFont="1" applyBorder="1"/>
    <xf numFmtId="173" fontId="131" fillId="31" borderId="15" xfId="87" applyNumberFormat="1" applyFont="1" applyFill="1" applyBorder="1"/>
    <xf numFmtId="0" fontId="137" fillId="0" borderId="17" xfId="87" applyFont="1" applyBorder="1" applyAlignment="1">
      <alignment horizontal="center" vertical="center"/>
    </xf>
    <xf numFmtId="0" fontId="134" fillId="0" borderId="51" xfId="87" applyFont="1" applyBorder="1" applyAlignment="1">
      <alignment horizontal="center" vertical="center" wrapText="1"/>
    </xf>
    <xf numFmtId="0" fontId="133" fillId="31" borderId="14" xfId="87" applyFont="1" applyFill="1" applyBorder="1" applyAlignment="1">
      <alignment horizontal="center" vertical="center"/>
    </xf>
    <xf numFmtId="213" fontId="133" fillId="0" borderId="0" xfId="87" applyNumberFormat="1" applyFont="1"/>
    <xf numFmtId="0" fontId="130" fillId="42" borderId="15" xfId="0" applyFont="1" applyFill="1" applyBorder="1" applyAlignment="1" applyProtection="1">
      <alignment horizontal="center" vertical="center"/>
      <protection locked="0"/>
    </xf>
    <xf numFmtId="0" fontId="30" fillId="32" borderId="15" xfId="97" applyFont="1" applyFill="1" applyBorder="1" applyAlignment="1" applyProtection="1">
      <alignment horizontal="center" vertical="center"/>
      <protection hidden="1"/>
    </xf>
    <xf numFmtId="0" fontId="73" fillId="0" borderId="15" xfId="97" applyFont="1" applyBorder="1" applyAlignment="1" applyProtection="1">
      <alignment horizontal="center" vertical="center"/>
      <protection hidden="1"/>
    </xf>
    <xf numFmtId="1" fontId="180" fillId="27" borderId="15" xfId="0" applyNumberFormat="1" applyFont="1" applyFill="1" applyBorder="1" applyAlignment="1">
      <alignment horizontal="center" vertical="center"/>
    </xf>
    <xf numFmtId="173" fontId="180" fillId="27" borderId="15" xfId="0" applyNumberFormat="1" applyFont="1" applyFill="1" applyBorder="1" applyAlignment="1">
      <alignment horizontal="center" vertical="center"/>
    </xf>
    <xf numFmtId="166" fontId="180" fillId="27" borderId="15" xfId="0" applyNumberFormat="1" applyFont="1" applyFill="1" applyBorder="1" applyAlignment="1">
      <alignment horizontal="center" vertical="center"/>
    </xf>
    <xf numFmtId="0" fontId="134" fillId="0" borderId="17" xfId="87" applyFont="1" applyBorder="1" applyAlignment="1">
      <alignment horizontal="center" vertical="center"/>
    </xf>
    <xf numFmtId="43" fontId="133" fillId="0" borderId="15" xfId="87" applyNumberFormat="1" applyFont="1" applyBorder="1" applyAlignment="1">
      <alignment horizontal="center" vertical="center"/>
    </xf>
    <xf numFmtId="0" fontId="133" fillId="0" borderId="0" xfId="87" applyFont="1" applyAlignment="1">
      <alignment horizontal="center"/>
    </xf>
    <xf numFmtId="2" fontId="133" fillId="0" borderId="0" xfId="87" applyNumberFormat="1" applyFont="1" applyAlignment="1">
      <alignment horizontal="center" vertical="center"/>
    </xf>
    <xf numFmtId="2" fontId="133" fillId="47" borderId="15" xfId="87" applyNumberFormat="1" applyFont="1" applyFill="1" applyBorder="1" applyAlignment="1">
      <alignment horizontal="center" vertical="center"/>
    </xf>
    <xf numFmtId="2" fontId="133" fillId="47" borderId="14" xfId="87" applyNumberFormat="1" applyFont="1" applyFill="1" applyBorder="1" applyAlignment="1">
      <alignment horizontal="center" vertical="center"/>
    </xf>
    <xf numFmtId="199" fontId="134" fillId="48" borderId="15" xfId="87" applyNumberFormat="1" applyFont="1" applyFill="1" applyBorder="1" applyAlignment="1">
      <alignment horizontal="center" vertical="center"/>
    </xf>
    <xf numFmtId="200" fontId="134" fillId="48" borderId="15" xfId="87" applyNumberFormat="1" applyFont="1" applyFill="1" applyBorder="1" applyAlignment="1">
      <alignment horizontal="center" vertical="center"/>
    </xf>
    <xf numFmtId="198" fontId="134" fillId="48" borderId="15" xfId="87" applyNumberFormat="1" applyFont="1" applyFill="1" applyBorder="1" applyAlignment="1">
      <alignment horizontal="center" vertical="center"/>
    </xf>
    <xf numFmtId="2" fontId="134" fillId="48" borderId="15" xfId="87" applyNumberFormat="1" applyFont="1" applyFill="1" applyBorder="1" applyAlignment="1">
      <alignment horizontal="center" vertical="center"/>
    </xf>
    <xf numFmtId="2" fontId="134" fillId="0" borderId="0" xfId="87" applyNumberFormat="1" applyFont="1" applyAlignment="1">
      <alignment horizontal="center" vertical="center"/>
    </xf>
    <xf numFmtId="205" fontId="134" fillId="0" borderId="0" xfId="87" applyNumberFormat="1" applyFont="1" applyAlignment="1">
      <alignment horizontal="center" vertical="center"/>
    </xf>
    <xf numFmtId="189" fontId="134" fillId="48" borderId="0" xfId="87" applyNumberFormat="1" applyFont="1" applyFill="1" applyAlignment="1">
      <alignment horizontal="center" vertical="center"/>
    </xf>
    <xf numFmtId="2" fontId="134" fillId="48" borderId="0" xfId="87" applyNumberFormat="1" applyFont="1" applyFill="1" applyAlignment="1">
      <alignment horizontal="center" vertical="center"/>
    </xf>
    <xf numFmtId="10" fontId="134" fillId="48" borderId="0" xfId="87" applyNumberFormat="1" applyFont="1" applyFill="1" applyAlignment="1">
      <alignment horizontal="center" vertical="center"/>
    </xf>
    <xf numFmtId="206" fontId="134" fillId="0" borderId="0" xfId="87" applyNumberFormat="1" applyFont="1" applyAlignment="1">
      <alignment horizontal="center" vertical="center"/>
    </xf>
    <xf numFmtId="2" fontId="133" fillId="0" borderId="14" xfId="87" applyNumberFormat="1" applyFont="1" applyBorder="1" applyAlignment="1">
      <alignment horizontal="center" vertical="center"/>
    </xf>
    <xf numFmtId="1" fontId="133" fillId="0" borderId="37" xfId="87" applyNumberFormat="1" applyFont="1" applyBorder="1" applyAlignment="1">
      <alignment horizontal="center" vertical="center"/>
    </xf>
    <xf numFmtId="43" fontId="133" fillId="0" borderId="0" xfId="87" applyNumberFormat="1" applyFont="1" applyAlignment="1">
      <alignment horizontal="center" vertical="center"/>
    </xf>
    <xf numFmtId="0" fontId="14" fillId="0" borderId="15" xfId="87" applyBorder="1"/>
    <xf numFmtId="0" fontId="14" fillId="0" borderId="15" xfId="87" applyBorder="1" applyAlignment="1">
      <alignment horizontal="center"/>
    </xf>
    <xf numFmtId="0" fontId="133" fillId="0" borderId="21" xfId="87" applyFont="1" applyBorder="1" applyAlignment="1">
      <alignment horizontal="center"/>
    </xf>
    <xf numFmtId="214" fontId="133" fillId="0" borderId="0" xfId="87" applyNumberFormat="1" applyFont="1"/>
    <xf numFmtId="0" fontId="8" fillId="27" borderId="15" xfId="104" applyFill="1" applyBorder="1" applyAlignment="1">
      <alignment horizontal="center" vertical="center"/>
    </xf>
    <xf numFmtId="2" fontId="134" fillId="0" borderId="14" xfId="87" applyNumberFormat="1" applyFont="1" applyBorder="1" applyAlignment="1">
      <alignment horizontal="center" vertical="center"/>
    </xf>
    <xf numFmtId="204" fontId="133" fillId="0" borderId="0" xfId="87" applyNumberFormat="1" applyFont="1" applyAlignment="1">
      <alignment horizontal="center" vertical="center"/>
    </xf>
    <xf numFmtId="208" fontId="133" fillId="0" borderId="0" xfId="87" applyNumberFormat="1" applyFont="1" applyAlignment="1">
      <alignment horizontal="center" vertical="center"/>
    </xf>
    <xf numFmtId="173" fontId="136" fillId="0" borderId="15" xfId="87" applyNumberFormat="1" applyFont="1" applyBorder="1" applyAlignment="1">
      <alignment horizontal="center" vertical="center"/>
    </xf>
    <xf numFmtId="1" fontId="133" fillId="0" borderId="15" xfId="87" applyNumberFormat="1" applyFont="1" applyBorder="1" applyAlignment="1">
      <alignment horizontal="center" vertical="center"/>
    </xf>
    <xf numFmtId="173" fontId="0" fillId="0" borderId="15" xfId="0" applyNumberFormat="1" applyBorder="1" applyAlignment="1">
      <alignment horizontal="center" vertical="center"/>
    </xf>
    <xf numFmtId="0" fontId="134" fillId="0" borderId="0" xfId="87" applyFont="1" applyAlignment="1">
      <alignment horizontal="center" vertical="center"/>
    </xf>
    <xf numFmtId="0" fontId="134" fillId="0" borderId="14" xfId="87" applyFont="1" applyBorder="1" applyAlignment="1">
      <alignment horizontal="center" vertical="center"/>
    </xf>
    <xf numFmtId="0" fontId="133" fillId="0" borderId="14" xfId="87" applyFont="1" applyBorder="1" applyAlignment="1">
      <alignment horizontal="center" vertical="center"/>
    </xf>
    <xf numFmtId="0" fontId="134" fillId="0" borderId="61" xfId="87" applyFont="1" applyBorder="1" applyAlignment="1">
      <alignment horizontal="center" vertical="center"/>
    </xf>
    <xf numFmtId="1" fontId="0" fillId="0" borderId="15" xfId="0" applyNumberFormat="1" applyBorder="1" applyAlignment="1">
      <alignment horizontal="center" vertical="center"/>
    </xf>
    <xf numFmtId="0" fontId="133" fillId="0" borderId="15" xfId="87" applyFont="1" applyBorder="1" applyAlignment="1">
      <alignment horizontal="center" vertical="center" wrapText="1"/>
    </xf>
    <xf numFmtId="0" fontId="30" fillId="32" borderId="15" xfId="97" applyFont="1" applyFill="1" applyBorder="1" applyAlignment="1" applyProtection="1">
      <alignment horizontal="center" vertical="center" wrapText="1"/>
      <protection hidden="1"/>
    </xf>
    <xf numFmtId="0" fontId="100" fillId="27" borderId="0" xfId="0" applyFont="1" applyFill="1" applyAlignment="1">
      <alignment horizontal="left" vertical="center"/>
    </xf>
    <xf numFmtId="1" fontId="8" fillId="0" borderId="15" xfId="104" applyNumberFormat="1" applyBorder="1" applyAlignment="1">
      <alignment horizontal="center" vertical="center"/>
    </xf>
    <xf numFmtId="0" fontId="8" fillId="0" borderId="0" xfId="104"/>
    <xf numFmtId="0" fontId="8" fillId="0" borderId="0" xfId="104" applyAlignment="1">
      <alignment horizontal="center" vertical="center"/>
    </xf>
    <xf numFmtId="0" fontId="8" fillId="62" borderId="15" xfId="104" applyFill="1" applyBorder="1"/>
    <xf numFmtId="0" fontId="8" fillId="28" borderId="15" xfId="104" applyFill="1" applyBorder="1"/>
    <xf numFmtId="0" fontId="8" fillId="33" borderId="15" xfId="104" applyFill="1" applyBorder="1"/>
    <xf numFmtId="0" fontId="8" fillId="63" borderId="15" xfId="104" applyFill="1" applyBorder="1"/>
    <xf numFmtId="0" fontId="0" fillId="61" borderId="15" xfId="0" applyFill="1" applyBorder="1" applyAlignment="1">
      <alignment horizontal="center" vertical="center"/>
    </xf>
    <xf numFmtId="0" fontId="0" fillId="62" borderId="15" xfId="0" applyFill="1" applyBorder="1" applyAlignment="1">
      <alignment horizontal="center" vertical="center"/>
    </xf>
    <xf numFmtId="0" fontId="0" fillId="28" borderId="15" xfId="0" applyFill="1" applyBorder="1" applyAlignment="1">
      <alignment horizontal="center" vertical="center"/>
    </xf>
    <xf numFmtId="0" fontId="0" fillId="33" borderId="15" xfId="0" applyFill="1" applyBorder="1" applyAlignment="1">
      <alignment horizontal="center" vertical="center"/>
    </xf>
    <xf numFmtId="0" fontId="0" fillId="63" borderId="15" xfId="0" applyFill="1" applyBorder="1" applyAlignment="1">
      <alignment horizontal="center" vertical="center"/>
    </xf>
    <xf numFmtId="1" fontId="154" fillId="0" borderId="83" xfId="0" applyNumberFormat="1" applyFont="1" applyBorder="1" applyAlignment="1" applyProtection="1">
      <alignment horizontal="center" vertical="center"/>
      <protection locked="0"/>
    </xf>
    <xf numFmtId="1" fontId="154" fillId="0" borderId="80" xfId="0" applyNumberFormat="1" applyFont="1" applyBorder="1" applyAlignment="1" applyProtection="1">
      <alignment horizontal="center" vertical="center"/>
      <protection locked="0"/>
    </xf>
    <xf numFmtId="0" fontId="177" fillId="0" borderId="0" xfId="0" applyFont="1" applyProtection="1">
      <protection locked="0"/>
    </xf>
    <xf numFmtId="0" fontId="177" fillId="0" borderId="0" xfId="63" applyFont="1" applyAlignment="1" applyProtection="1">
      <alignment horizontal="center" vertical="center"/>
      <protection locked="0"/>
    </xf>
    <xf numFmtId="1" fontId="8" fillId="36" borderId="15" xfId="104" applyNumberFormat="1" applyFill="1" applyBorder="1" applyAlignment="1">
      <alignment horizontal="center" vertical="center"/>
    </xf>
    <xf numFmtId="1" fontId="8" fillId="29" borderId="15" xfId="104" applyNumberFormat="1" applyFill="1" applyBorder="1" applyAlignment="1">
      <alignment horizontal="center" vertical="center"/>
    </xf>
    <xf numFmtId="1" fontId="0" fillId="0" borderId="0" xfId="0" applyNumberFormat="1" applyAlignment="1">
      <alignment horizontal="center" vertical="center"/>
    </xf>
    <xf numFmtId="0" fontId="18" fillId="0" borderId="51" xfId="63" applyBorder="1" applyAlignment="1" applyProtection="1">
      <alignment horizontal="center" vertical="center"/>
      <protection locked="0"/>
    </xf>
    <xf numFmtId="0" fontId="141" fillId="0" borderId="15" xfId="0" applyFont="1" applyBorder="1" applyAlignment="1" applyProtection="1">
      <alignment vertical="center" wrapText="1"/>
      <protection locked="0"/>
    </xf>
    <xf numFmtId="0" fontId="18" fillId="0" borderId="15" xfId="63" applyBorder="1" applyProtection="1">
      <protection locked="0"/>
    </xf>
    <xf numFmtId="0" fontId="18" fillId="0" borderId="15" xfId="0" applyFont="1" applyBorder="1" applyProtection="1">
      <protection locked="0"/>
    </xf>
    <xf numFmtId="0" fontId="18" fillId="0" borderId="15" xfId="65" applyBorder="1" applyProtection="1">
      <protection locked="0"/>
    </xf>
    <xf numFmtId="167" fontId="61" fillId="0" borderId="51" xfId="0" applyNumberFormat="1" applyFont="1" applyBorder="1" applyAlignment="1" applyProtection="1">
      <alignment horizontal="center" vertical="center"/>
      <protection locked="0"/>
    </xf>
    <xf numFmtId="0" fontId="18" fillId="0" borderId="15" xfId="63" applyBorder="1" applyAlignment="1">
      <alignment horizontal="center" vertical="center"/>
    </xf>
    <xf numFmtId="0" fontId="18" fillId="0" borderId="15" xfId="63" applyBorder="1"/>
    <xf numFmtId="0" fontId="94" fillId="0" borderId="15" xfId="63" applyFont="1" applyBorder="1" applyAlignment="1" applyProtection="1">
      <alignment horizontal="center" vertical="center"/>
      <protection locked="0"/>
    </xf>
    <xf numFmtId="0" fontId="94" fillId="0" borderId="15" xfId="63" applyFont="1" applyBorder="1" applyProtection="1">
      <protection locked="0"/>
    </xf>
    <xf numFmtId="0" fontId="150" fillId="45" borderId="15" xfId="63" applyFont="1" applyFill="1" applyBorder="1" applyAlignment="1" applyProtection="1">
      <alignment horizontal="center" vertical="center"/>
      <protection locked="0"/>
    </xf>
    <xf numFmtId="166" fontId="18" fillId="0" borderId="15" xfId="65" applyNumberFormat="1" applyBorder="1" applyProtection="1">
      <protection locked="0"/>
    </xf>
    <xf numFmtId="0" fontId="136" fillId="0" borderId="0" xfId="87" applyFont="1" applyAlignment="1">
      <alignment horizontal="center"/>
    </xf>
    <xf numFmtId="0" fontId="8" fillId="36" borderId="15" xfId="104" applyFill="1" applyBorder="1" applyAlignment="1">
      <alignment horizontal="center" vertical="center"/>
    </xf>
    <xf numFmtId="0" fontId="180" fillId="0" borderId="0" xfId="0" applyFont="1" applyAlignment="1">
      <alignment horizontal="center"/>
    </xf>
    <xf numFmtId="0" fontId="155" fillId="45" borderId="15" xfId="87" applyFont="1" applyFill="1" applyBorder="1" applyAlignment="1">
      <alignment horizontal="center" vertical="center"/>
    </xf>
    <xf numFmtId="0" fontId="155" fillId="45" borderId="15" xfId="87" applyFont="1" applyFill="1" applyBorder="1" applyAlignment="1">
      <alignment horizontal="center" vertical="center" wrapText="1"/>
    </xf>
    <xf numFmtId="0" fontId="155" fillId="50" borderId="15" xfId="87" applyFont="1" applyFill="1" applyBorder="1" applyAlignment="1">
      <alignment horizontal="center" vertical="center"/>
    </xf>
    <xf numFmtId="0" fontId="156" fillId="0" borderId="15" xfId="87" applyFont="1" applyBorder="1" applyAlignment="1">
      <alignment horizontal="center" vertical="center" wrapText="1"/>
    </xf>
    <xf numFmtId="1" fontId="156" fillId="0" borderId="15" xfId="87" applyNumberFormat="1" applyFont="1" applyBorder="1" applyAlignment="1">
      <alignment horizontal="center" vertical="center"/>
    </xf>
    <xf numFmtId="12" fontId="156" fillId="0" borderId="15" xfId="87" applyNumberFormat="1" applyFont="1" applyBorder="1" applyAlignment="1">
      <alignment horizontal="center" vertical="center"/>
    </xf>
    <xf numFmtId="2" fontId="156" fillId="0" borderId="15" xfId="87" applyNumberFormat="1" applyFont="1" applyBorder="1" applyAlignment="1">
      <alignment horizontal="center" vertical="center"/>
    </xf>
    <xf numFmtId="210" fontId="156" fillId="0" borderId="15" xfId="87" applyNumberFormat="1" applyFont="1" applyBorder="1" applyAlignment="1">
      <alignment horizontal="center" vertical="center"/>
    </xf>
    <xf numFmtId="172" fontId="156" fillId="0" borderId="15" xfId="87" applyNumberFormat="1" applyFont="1" applyBorder="1" applyAlignment="1">
      <alignment horizontal="center" vertical="center"/>
    </xf>
    <xf numFmtId="0" fontId="18" fillId="31" borderId="0" xfId="63" applyFill="1" applyAlignment="1" applyProtection="1">
      <alignment vertical="center"/>
      <protection locked="0"/>
    </xf>
    <xf numFmtId="0" fontId="159" fillId="31" borderId="0" xfId="63" applyFont="1" applyFill="1" applyAlignment="1" applyProtection="1">
      <alignment vertical="top"/>
      <protection locked="0"/>
    </xf>
    <xf numFmtId="0" fontId="162" fillId="31" borderId="0" xfId="63" applyFont="1" applyFill="1" applyAlignment="1" applyProtection="1">
      <alignment horizontal="left" vertical="center"/>
      <protection locked="0"/>
    </xf>
    <xf numFmtId="0" fontId="162" fillId="31" borderId="0" xfId="63" applyFont="1" applyFill="1" applyAlignment="1" applyProtection="1">
      <alignment vertical="center"/>
      <protection locked="0"/>
    </xf>
    <xf numFmtId="178" fontId="149" fillId="46" borderId="15" xfId="90" applyFont="1" applyFill="1" applyBorder="1" applyAlignment="1">
      <alignment horizontal="center" vertical="center" wrapText="1"/>
    </xf>
    <xf numFmtId="178" fontId="149" fillId="46" borderId="15" xfId="90" applyFont="1" applyFill="1" applyBorder="1" applyAlignment="1">
      <alignment horizontal="center" vertical="center"/>
    </xf>
    <xf numFmtId="49" fontId="187" fillId="0" borderId="15" xfId="90" applyNumberFormat="1" applyFont="1" applyBorder="1" applyAlignment="1">
      <alignment horizontal="center" vertical="center"/>
    </xf>
    <xf numFmtId="178" fontId="187" fillId="0" borderId="15" xfId="92" applyFont="1" applyBorder="1" applyAlignment="1">
      <alignment horizontal="center" vertical="center" wrapText="1"/>
    </xf>
    <xf numFmtId="1" fontId="187" fillId="0" borderId="15" xfId="90" applyNumberFormat="1" applyFont="1" applyBorder="1" applyAlignment="1">
      <alignment horizontal="center" vertical="center"/>
    </xf>
    <xf numFmtId="2" fontId="187" fillId="0" borderId="15" xfId="90" applyNumberFormat="1" applyFont="1" applyBorder="1" applyAlignment="1">
      <alignment horizontal="center" vertical="center"/>
    </xf>
    <xf numFmtId="173" fontId="188" fillId="0" borderId="15" xfId="0" applyNumberFormat="1" applyFont="1" applyBorder="1" applyAlignment="1" applyProtection="1">
      <alignment horizontal="center" vertical="center"/>
      <protection locked="0"/>
    </xf>
    <xf numFmtId="173" fontId="187" fillId="0" borderId="15" xfId="90" applyNumberFormat="1" applyFont="1" applyBorder="1" applyAlignment="1">
      <alignment horizontal="center" vertical="center"/>
    </xf>
    <xf numFmtId="178" fontId="149" fillId="51" borderId="15" xfId="90" applyFont="1" applyFill="1" applyBorder="1" applyAlignment="1">
      <alignment horizontal="center" vertical="center"/>
    </xf>
    <xf numFmtId="178" fontId="149" fillId="51" borderId="15" xfId="90" applyFont="1" applyFill="1" applyBorder="1" applyAlignment="1">
      <alignment horizontal="center" vertical="center" wrapText="1"/>
    </xf>
    <xf numFmtId="2" fontId="153" fillId="0" borderId="15" xfId="90" applyNumberFormat="1" applyFont="1" applyBorder="1" applyAlignment="1">
      <alignment horizontal="center" vertical="center"/>
    </xf>
    <xf numFmtId="178" fontId="153" fillId="0" borderId="15" xfId="87" applyNumberFormat="1" applyFont="1" applyBorder="1" applyAlignment="1">
      <alignment horizontal="center" vertical="center" wrapText="1"/>
    </xf>
    <xf numFmtId="2" fontId="154" fillId="0" borderId="15" xfId="90" applyNumberFormat="1" applyFont="1" applyBorder="1" applyAlignment="1">
      <alignment vertical="center"/>
    </xf>
    <xf numFmtId="1" fontId="180" fillId="0" borderId="21" xfId="0" applyNumberFormat="1" applyFont="1" applyBorder="1" applyAlignment="1">
      <alignment horizontal="center" vertical="center"/>
    </xf>
    <xf numFmtId="173" fontId="0" fillId="0" borderId="21" xfId="0" applyNumberFormat="1" applyBorder="1" applyAlignment="1">
      <alignment horizontal="center" vertical="center"/>
    </xf>
    <xf numFmtId="2" fontId="0" fillId="0" borderId="21" xfId="0" applyNumberFormat="1" applyBorder="1" applyAlignment="1">
      <alignment horizontal="center" vertical="center"/>
    </xf>
    <xf numFmtId="1" fontId="0" fillId="0" borderId="21" xfId="0" applyNumberFormat="1" applyBorder="1" applyAlignment="1">
      <alignment horizontal="center" vertical="center"/>
    </xf>
    <xf numFmtId="215" fontId="0" fillId="0" borderId="15" xfId="0" applyNumberFormat="1" applyBorder="1"/>
    <xf numFmtId="1" fontId="180" fillId="64" borderId="15" xfId="0" applyNumberFormat="1" applyFont="1" applyFill="1" applyBorder="1" applyAlignment="1">
      <alignment horizontal="center" vertical="center"/>
    </xf>
    <xf numFmtId="173" fontId="0" fillId="64" borderId="15" xfId="0" applyNumberFormat="1" applyFill="1" applyBorder="1" applyAlignment="1">
      <alignment horizontal="center" vertical="center"/>
    </xf>
    <xf numFmtId="0" fontId="0" fillId="64" borderId="15" xfId="0" applyFill="1" applyBorder="1" applyAlignment="1">
      <alignment horizontal="center" vertical="center"/>
    </xf>
    <xf numFmtId="2" fontId="0" fillId="64" borderId="15" xfId="0" applyNumberFormat="1" applyFill="1" applyBorder="1" applyAlignment="1">
      <alignment horizontal="center" vertical="center"/>
    </xf>
    <xf numFmtId="0" fontId="0" fillId="64" borderId="15" xfId="0" applyFill="1" applyBorder="1" applyAlignment="1">
      <alignment horizontal="center"/>
    </xf>
    <xf numFmtId="215" fontId="0" fillId="64" borderId="15" xfId="0" applyNumberFormat="1" applyFill="1" applyBorder="1"/>
    <xf numFmtId="1" fontId="0" fillId="64" borderId="15" xfId="0" applyNumberFormat="1" applyFill="1" applyBorder="1" applyAlignment="1">
      <alignment horizontal="center" vertical="center"/>
    </xf>
    <xf numFmtId="178" fontId="172" fillId="0" borderId="0" xfId="61" applyFont="1" applyAlignment="1" applyProtection="1">
      <alignment horizontal="left" vertical="center" wrapText="1"/>
      <protection hidden="1"/>
    </xf>
    <xf numFmtId="14" fontId="178" fillId="0" borderId="0" xfId="98" applyNumberFormat="1" applyFont="1" applyAlignment="1">
      <alignment horizontal="left" vertical="center"/>
    </xf>
    <xf numFmtId="0" fontId="81" fillId="0" borderId="0" xfId="80" applyFont="1" applyAlignment="1" applyProtection="1">
      <alignment horizontal="center" vertical="center" wrapText="1"/>
      <protection hidden="1"/>
    </xf>
    <xf numFmtId="0" fontId="79" fillId="0" borderId="0" xfId="80" applyFont="1" applyProtection="1">
      <protection hidden="1"/>
    </xf>
    <xf numFmtId="0" fontId="162" fillId="0" borderId="0" xfId="63" applyFont="1" applyAlignment="1">
      <alignment vertical="center" wrapText="1"/>
    </xf>
    <xf numFmtId="0" fontId="178" fillId="0" borderId="0" xfId="80" applyFont="1" applyAlignment="1">
      <alignment horizontal="left" vertical="center" wrapText="1"/>
    </xf>
    <xf numFmtId="0" fontId="192" fillId="0" borderId="0" xfId="63" applyFont="1" applyProtection="1">
      <protection locked="0"/>
    </xf>
    <xf numFmtId="0" fontId="6" fillId="62" borderId="15" xfId="104" applyFont="1" applyFill="1" applyBorder="1"/>
    <xf numFmtId="0" fontId="6" fillId="0" borderId="15" xfId="104" applyFont="1" applyBorder="1" applyAlignment="1">
      <alignment horizontal="center" vertical="center"/>
    </xf>
    <xf numFmtId="0" fontId="6" fillId="0" borderId="15" xfId="104" applyFont="1" applyBorder="1" applyAlignment="1">
      <alignment horizontal="center" vertical="center" wrapText="1"/>
    </xf>
    <xf numFmtId="0" fontId="6" fillId="61" borderId="15" xfId="104" applyFont="1" applyFill="1" applyBorder="1"/>
    <xf numFmtId="0" fontId="6" fillId="28" borderId="15" xfId="104" applyFont="1" applyFill="1" applyBorder="1"/>
    <xf numFmtId="0" fontId="6" fillId="33" borderId="15" xfId="104" applyFont="1" applyFill="1" applyBorder="1"/>
    <xf numFmtId="0" fontId="6" fillId="63" borderId="15" xfId="104" applyFont="1" applyFill="1" applyBorder="1"/>
    <xf numFmtId="0" fontId="6" fillId="0" borderId="15" xfId="87" applyFont="1" applyBorder="1" applyAlignment="1">
      <alignment horizontal="center"/>
    </xf>
    <xf numFmtId="0" fontId="6" fillId="0" borderId="0" xfId="87" applyFont="1"/>
    <xf numFmtId="178" fontId="194" fillId="0" borderId="15" xfId="92" applyFont="1" applyBorder="1" applyAlignment="1">
      <alignment horizontal="center" vertical="center" wrapText="1"/>
    </xf>
    <xf numFmtId="1" fontId="180" fillId="64" borderId="47" xfId="0" applyNumberFormat="1" applyFont="1" applyFill="1" applyBorder="1" applyAlignment="1">
      <alignment horizontal="center" vertical="center"/>
    </xf>
    <xf numFmtId="166" fontId="154" fillId="0" borderId="80" xfId="0" applyNumberFormat="1" applyFont="1" applyBorder="1" applyAlignment="1" applyProtection="1">
      <alignment horizontal="center" vertical="center"/>
      <protection locked="0"/>
    </xf>
    <xf numFmtId="0" fontId="4" fillId="28" borderId="15" xfId="104" applyFont="1" applyFill="1" applyBorder="1" applyAlignment="1">
      <alignment horizontal="center" wrapText="1"/>
    </xf>
    <xf numFmtId="0" fontId="8" fillId="28" borderId="15" xfId="104" applyFill="1" applyBorder="1" applyAlignment="1">
      <alignment horizontal="center"/>
    </xf>
    <xf numFmtId="0" fontId="8" fillId="28" borderId="15" xfId="104" applyFill="1" applyBorder="1" applyAlignment="1">
      <alignment horizontal="center" vertical="center"/>
    </xf>
    <xf numFmtId="0" fontId="5" fillId="28" borderId="15" xfId="104" applyFont="1" applyFill="1" applyBorder="1" applyAlignment="1">
      <alignment horizontal="center"/>
    </xf>
    <xf numFmtId="0" fontId="4" fillId="28" borderId="15" xfId="104" applyFont="1" applyFill="1" applyBorder="1" applyAlignment="1">
      <alignment horizontal="center"/>
    </xf>
    <xf numFmtId="0" fontId="5" fillId="62" borderId="15" xfId="104" applyFont="1" applyFill="1" applyBorder="1" applyAlignment="1">
      <alignment horizontal="center"/>
    </xf>
    <xf numFmtId="0" fontId="3" fillId="61" borderId="15" xfId="104" applyFont="1" applyFill="1" applyBorder="1" applyAlignment="1">
      <alignment horizontal="center"/>
    </xf>
    <xf numFmtId="0" fontId="4" fillId="61" borderId="15" xfId="104" applyFont="1" applyFill="1" applyBorder="1" applyAlignment="1">
      <alignment horizontal="center"/>
    </xf>
    <xf numFmtId="0" fontId="3" fillId="62" borderId="15" xfId="104" applyFont="1" applyFill="1" applyBorder="1" applyAlignment="1">
      <alignment horizontal="center"/>
    </xf>
    <xf numFmtId="0" fontId="3" fillId="28" borderId="15" xfId="104" applyFont="1" applyFill="1" applyBorder="1" applyAlignment="1">
      <alignment horizontal="center" wrapText="1"/>
    </xf>
    <xf numFmtId="0" fontId="3" fillId="28" borderId="15" xfId="104" applyFont="1" applyFill="1" applyBorder="1" applyAlignment="1">
      <alignment horizontal="center"/>
    </xf>
    <xf numFmtId="0" fontId="2" fillId="28" borderId="15" xfId="104" applyFont="1" applyFill="1" applyBorder="1" applyAlignment="1">
      <alignment horizontal="center" vertical="center"/>
    </xf>
    <xf numFmtId="0" fontId="74" fillId="31" borderId="0" xfId="63" applyFont="1" applyFill="1" applyAlignment="1">
      <alignment vertical="center" wrapText="1"/>
    </xf>
    <xf numFmtId="0" fontId="75" fillId="31" borderId="0" xfId="63" applyFont="1" applyFill="1" applyAlignment="1">
      <alignment vertical="center" wrapText="1"/>
    </xf>
    <xf numFmtId="0" fontId="1" fillId="28" borderId="15" xfId="104" applyFont="1" applyFill="1" applyBorder="1" applyAlignment="1">
      <alignment horizontal="center"/>
    </xf>
    <xf numFmtId="0" fontId="25" fillId="0" borderId="0" xfId="0" applyFont="1" applyAlignment="1">
      <alignment horizontal="left"/>
    </xf>
    <xf numFmtId="10" fontId="0" fillId="0" borderId="0" xfId="0" applyNumberFormat="1" applyAlignment="1">
      <alignment horizontal="center"/>
    </xf>
    <xf numFmtId="2" fontId="25" fillId="0" borderId="0" xfId="0" applyNumberFormat="1" applyFont="1" applyAlignment="1">
      <alignment horizontal="center"/>
    </xf>
    <xf numFmtId="0" fontId="133" fillId="0" borderId="21" xfId="87" applyFont="1" applyBorder="1" applyAlignment="1">
      <alignment horizontal="center" vertical="center"/>
    </xf>
    <xf numFmtId="173" fontId="133" fillId="40" borderId="0" xfId="87" applyNumberFormat="1" applyFont="1" applyFill="1" applyAlignment="1">
      <alignment horizontal="center" vertical="center"/>
    </xf>
    <xf numFmtId="43" fontId="133" fillId="0" borderId="14" xfId="96" applyFont="1" applyFill="1" applyBorder="1" applyAlignment="1">
      <alignment horizontal="center" vertical="center"/>
    </xf>
    <xf numFmtId="166" fontId="133" fillId="0" borderId="14" xfId="87" applyNumberFormat="1" applyFont="1" applyBorder="1" applyAlignment="1">
      <alignment horizontal="center" vertical="center"/>
    </xf>
    <xf numFmtId="2" fontId="136" fillId="0" borderId="14" xfId="87" applyNumberFormat="1" applyFont="1" applyBorder="1" applyAlignment="1">
      <alignment horizontal="center" vertical="center"/>
    </xf>
    <xf numFmtId="1" fontId="133" fillId="0" borderId="21" xfId="87" applyNumberFormat="1" applyFont="1" applyBorder="1" applyAlignment="1">
      <alignment horizontal="center" vertical="center"/>
    </xf>
    <xf numFmtId="173" fontId="133" fillId="0" borderId="21" xfId="87" applyNumberFormat="1" applyFont="1" applyBorder="1" applyAlignment="1">
      <alignment horizontal="center" vertical="center"/>
    </xf>
    <xf numFmtId="1" fontId="133" fillId="0" borderId="15" xfId="87" applyNumberFormat="1" applyFont="1" applyBorder="1" applyAlignment="1">
      <alignment horizontal="center"/>
    </xf>
    <xf numFmtId="173" fontId="133" fillId="0" borderId="15" xfId="87" applyNumberFormat="1" applyFont="1" applyBorder="1" applyAlignment="1">
      <alignment horizontal="center"/>
    </xf>
    <xf numFmtId="204" fontId="133" fillId="40" borderId="0" xfId="87" applyNumberFormat="1" applyFont="1" applyFill="1" applyAlignment="1">
      <alignment horizontal="center" vertical="center"/>
    </xf>
    <xf numFmtId="211" fontId="156" fillId="0" borderId="15" xfId="87" applyNumberFormat="1" applyFont="1" applyBorder="1" applyAlignment="1">
      <alignment horizontal="center" vertical="center"/>
    </xf>
    <xf numFmtId="0" fontId="155" fillId="0" borderId="61" xfId="87" applyFont="1" applyBorder="1" applyAlignment="1">
      <alignment horizontal="left" vertical="center"/>
    </xf>
    <xf numFmtId="0" fontId="28" fillId="0" borderId="15" xfId="63" applyFont="1" applyBorder="1" applyAlignment="1" applyProtection="1">
      <alignment horizontal="center" vertical="center"/>
      <protection locked="0"/>
    </xf>
    <xf numFmtId="0" fontId="28" fillId="0" borderId="15" xfId="63" applyFont="1" applyBorder="1" applyAlignment="1" applyProtection="1">
      <alignment horizontal="center" vertical="center" wrapText="1"/>
      <protection locked="0"/>
    </xf>
    <xf numFmtId="0" fontId="96" fillId="42" borderId="15" xfId="86" applyFont="1" applyFill="1" applyBorder="1" applyAlignment="1" applyProtection="1">
      <alignment horizontal="center" vertical="center" wrapText="1"/>
      <protection locked="0"/>
    </xf>
    <xf numFmtId="0" fontId="93" fillId="0" borderId="15" xfId="86" applyFont="1" applyBorder="1" applyAlignment="1" applyProtection="1">
      <alignment horizontal="left" vertical="top" wrapText="1"/>
      <protection locked="0"/>
    </xf>
    <xf numFmtId="0" fontId="93" fillId="0" borderId="15" xfId="86" applyFont="1" applyBorder="1" applyAlignment="1" applyProtection="1">
      <alignment horizontal="left" vertical="center" wrapText="1"/>
      <protection locked="0"/>
    </xf>
    <xf numFmtId="0" fontId="18" fillId="0" borderId="0" xfId="63" applyAlignment="1" applyProtection="1">
      <alignment horizontal="justify" vertical="center"/>
      <protection locked="0"/>
    </xf>
    <xf numFmtId="0" fontId="21" fillId="0" borderId="0" xfId="63" applyFont="1" applyAlignment="1" applyProtection="1">
      <alignment horizontal="justify" vertical="justify"/>
      <protection locked="0"/>
    </xf>
    <xf numFmtId="0" fontId="25" fillId="0" borderId="0" xfId="63" applyFont="1" applyAlignment="1">
      <alignment horizontal="center" vertical="center" wrapText="1"/>
    </xf>
    <xf numFmtId="0" fontId="21" fillId="0" borderId="0" xfId="63" applyFont="1" applyAlignment="1" applyProtection="1">
      <alignment horizontal="center" vertical="center"/>
      <protection locked="0"/>
    </xf>
    <xf numFmtId="0" fontId="28" fillId="0" borderId="0" xfId="63" applyFont="1" applyAlignment="1" applyProtection="1">
      <alignment horizontal="justify" vertical="center"/>
      <protection locked="0"/>
    </xf>
    <xf numFmtId="0" fontId="20" fillId="0" borderId="65" xfId="63" applyFont="1" applyBorder="1" applyAlignment="1">
      <alignment horizontal="center" vertical="center" wrapText="1"/>
    </xf>
    <xf numFmtId="0" fontId="20" fillId="0" borderId="9" xfId="63" applyFont="1" applyBorder="1" applyAlignment="1">
      <alignment horizontal="center" vertical="center" wrapText="1"/>
    </xf>
    <xf numFmtId="0" fontId="20" fillId="0" borderId="66" xfId="63" applyFont="1" applyBorder="1" applyAlignment="1">
      <alignment horizontal="center" vertical="center" wrapText="1"/>
    </xf>
    <xf numFmtId="0" fontId="20" fillId="0" borderId="64" xfId="63" applyFont="1" applyBorder="1" applyAlignment="1">
      <alignment horizontal="center" vertical="center" wrapText="1"/>
    </xf>
    <xf numFmtId="0" fontId="20" fillId="0" borderId="0" xfId="63" applyFont="1" applyAlignment="1">
      <alignment horizontal="center" vertical="center" wrapText="1"/>
    </xf>
    <xf numFmtId="0" fontId="20" fillId="0" borderId="73" xfId="63" applyFont="1" applyBorder="1" applyAlignment="1">
      <alignment horizontal="center" vertical="center" wrapText="1"/>
    </xf>
    <xf numFmtId="0" fontId="20" fillId="0" borderId="67" xfId="63" applyFont="1" applyBorder="1" applyAlignment="1">
      <alignment horizontal="center" vertical="center" wrapText="1"/>
    </xf>
    <xf numFmtId="0" fontId="20" fillId="0" borderId="68" xfId="63" applyFont="1" applyBorder="1" applyAlignment="1">
      <alignment horizontal="center" vertical="center" wrapText="1"/>
    </xf>
    <xf numFmtId="0" fontId="20" fillId="0" borderId="69" xfId="63" applyFont="1" applyBorder="1" applyAlignment="1">
      <alignment horizontal="center" vertical="center" wrapText="1"/>
    </xf>
    <xf numFmtId="0" fontId="25" fillId="0" borderId="70" xfId="63" applyFont="1" applyBorder="1" applyAlignment="1">
      <alignment horizontal="center" vertical="center" wrapText="1"/>
    </xf>
    <xf numFmtId="0" fontId="25" fillId="0" borderId="71" xfId="63" applyFont="1" applyBorder="1" applyAlignment="1">
      <alignment horizontal="center" vertical="center" wrapText="1"/>
    </xf>
    <xf numFmtId="0" fontId="25" fillId="0" borderId="72" xfId="63" applyFont="1" applyBorder="1" applyAlignment="1">
      <alignment horizontal="center" vertical="center" wrapText="1"/>
    </xf>
    <xf numFmtId="0" fontId="30" fillId="0" borderId="65" xfId="63" applyFont="1" applyBorder="1" applyAlignment="1">
      <alignment horizontal="center" vertical="center" wrapText="1"/>
    </xf>
    <xf numFmtId="0" fontId="30" fillId="0" borderId="9" xfId="63" applyFont="1" applyBorder="1" applyAlignment="1">
      <alignment horizontal="center" vertical="center" wrapText="1"/>
    </xf>
    <xf numFmtId="0" fontId="30" fillId="0" borderId="66" xfId="63" applyFont="1" applyBorder="1" applyAlignment="1">
      <alignment horizontal="center" vertical="center" wrapText="1"/>
    </xf>
    <xf numFmtId="0" fontId="30" fillId="0" borderId="64" xfId="63" applyFont="1" applyBorder="1" applyAlignment="1">
      <alignment horizontal="center" vertical="center" wrapText="1"/>
    </xf>
    <xf numFmtId="0" fontId="30" fillId="0" borderId="0" xfId="63" applyFont="1" applyAlignment="1">
      <alignment horizontal="center" vertical="center" wrapText="1"/>
    </xf>
    <xf numFmtId="0" fontId="30" fillId="0" borderId="73" xfId="63" applyFont="1" applyBorder="1" applyAlignment="1">
      <alignment horizontal="center" vertical="center" wrapText="1"/>
    </xf>
    <xf numFmtId="0" fontId="20" fillId="0" borderId="62" xfId="63" applyFont="1" applyBorder="1" applyAlignment="1">
      <alignment horizontal="center" vertical="center" wrapText="1"/>
    </xf>
    <xf numFmtId="0" fontId="19" fillId="0" borderId="62" xfId="63" applyFont="1" applyBorder="1" applyAlignment="1">
      <alignment horizontal="center" vertical="center" wrapText="1"/>
    </xf>
    <xf numFmtId="0" fontId="20" fillId="0" borderId="63" xfId="63" applyFont="1" applyBorder="1" applyAlignment="1">
      <alignment horizontal="center" vertical="center" wrapText="1"/>
    </xf>
    <xf numFmtId="14" fontId="20" fillId="0" borderId="67" xfId="63" applyNumberFormat="1" applyFont="1" applyBorder="1" applyAlignment="1">
      <alignment horizontal="center" vertical="center" wrapText="1"/>
    </xf>
    <xf numFmtId="14" fontId="20" fillId="0" borderId="68" xfId="63" applyNumberFormat="1" applyFont="1" applyBorder="1" applyAlignment="1">
      <alignment horizontal="center" vertical="center" wrapText="1"/>
    </xf>
    <xf numFmtId="14" fontId="20" fillId="0" borderId="69" xfId="63" applyNumberFormat="1" applyFont="1" applyBorder="1" applyAlignment="1">
      <alignment horizontal="center" vertical="center" wrapText="1"/>
    </xf>
    <xf numFmtId="0" fontId="28" fillId="0" borderId="0" xfId="63" applyFont="1" applyAlignment="1" applyProtection="1">
      <alignment horizontal="justify" vertical="center" wrapText="1"/>
      <protection locked="0"/>
    </xf>
    <xf numFmtId="0" fontId="21" fillId="0" borderId="0" xfId="63" applyFont="1" applyAlignment="1" applyProtection="1">
      <alignment horizontal="justify" vertical="center" wrapText="1"/>
      <protection locked="0"/>
    </xf>
    <xf numFmtId="0" fontId="28" fillId="45" borderId="0" xfId="63" applyFont="1" applyFill="1" applyAlignment="1" applyProtection="1">
      <alignment horizontal="justify" vertical="center"/>
      <protection locked="0"/>
    </xf>
    <xf numFmtId="0" fontId="28" fillId="0" borderId="0" xfId="63" applyFont="1" applyAlignment="1" applyProtection="1">
      <alignment horizontal="justify" vertical="justify" wrapText="1"/>
      <protection locked="0"/>
    </xf>
    <xf numFmtId="0" fontId="28" fillId="0" borderId="0" xfId="63" applyFont="1" applyAlignment="1" applyProtection="1">
      <alignment horizontal="justify" vertical="top" wrapText="1"/>
      <protection locked="0"/>
    </xf>
    <xf numFmtId="0" fontId="28" fillId="0" borderId="0" xfId="79" applyFont="1" applyProtection="1">
      <protection locked="0"/>
    </xf>
    <xf numFmtId="0" fontId="93" fillId="0" borderId="15" xfId="86" applyFont="1" applyBorder="1" applyAlignment="1">
      <alignment horizontal="center" vertical="center" wrapText="1"/>
    </xf>
    <xf numFmtId="0" fontId="93" fillId="0" borderId="15" xfId="86" applyFont="1" applyBorder="1" applyAlignment="1">
      <alignment horizontal="left" vertical="center" wrapText="1"/>
    </xf>
    <xf numFmtId="9" fontId="93" fillId="0" borderId="15" xfId="86" applyNumberFormat="1" applyFont="1" applyBorder="1" applyAlignment="1" applyProtection="1">
      <alignment horizontal="left" vertical="center" wrapText="1"/>
      <protection locked="0"/>
    </xf>
    <xf numFmtId="0" fontId="129" fillId="0" borderId="0" xfId="63" applyFont="1" applyAlignment="1" applyProtection="1">
      <alignment horizontal="justify" vertical="center" wrapText="1"/>
      <protection locked="0"/>
    </xf>
    <xf numFmtId="0" fontId="21" fillId="42" borderId="51" xfId="63" applyFont="1" applyFill="1" applyBorder="1" applyAlignment="1" applyProtection="1">
      <alignment horizontal="center" vertical="center" wrapText="1"/>
      <protection locked="0"/>
    </xf>
    <xf numFmtId="0" fontId="21" fillId="42" borderId="17" xfId="63" applyFont="1" applyFill="1" applyBorder="1" applyAlignment="1" applyProtection="1">
      <alignment horizontal="center" vertical="center" wrapText="1"/>
      <protection locked="0"/>
    </xf>
    <xf numFmtId="0" fontId="21" fillId="42" borderId="15" xfId="63" applyFont="1" applyFill="1" applyBorder="1" applyAlignment="1" applyProtection="1">
      <alignment horizontal="center" vertical="center" wrapText="1"/>
      <protection locked="0"/>
    </xf>
    <xf numFmtId="0" fontId="28" fillId="0" borderId="51" xfId="63" applyFont="1" applyBorder="1" applyAlignment="1" applyProtection="1">
      <alignment horizontal="justify" vertical="center" wrapText="1"/>
      <protection locked="0"/>
    </xf>
    <xf numFmtId="0" fontId="28" fillId="0" borderId="17" xfId="63" applyFont="1" applyBorder="1" applyAlignment="1" applyProtection="1">
      <alignment horizontal="justify" vertical="center" wrapText="1"/>
      <protection locked="0"/>
    </xf>
    <xf numFmtId="0" fontId="28" fillId="0" borderId="34" xfId="63" applyFont="1" applyBorder="1" applyAlignment="1" applyProtection="1">
      <alignment horizontal="justify" vertical="center" wrapText="1"/>
      <protection locked="0"/>
    </xf>
    <xf numFmtId="0" fontId="28" fillId="0" borderId="15" xfId="63" applyFont="1" applyBorder="1" applyAlignment="1" applyProtection="1">
      <alignment horizontal="justify" vertical="center" wrapText="1"/>
      <protection locked="0"/>
    </xf>
    <xf numFmtId="0" fontId="28" fillId="0" borderId="0" xfId="63" applyFont="1" applyAlignment="1" applyProtection="1">
      <alignment horizontal="center" vertical="center"/>
      <protection locked="0"/>
    </xf>
    <xf numFmtId="0" fontId="25" fillId="42" borderId="15" xfId="63" applyFont="1" applyFill="1" applyBorder="1" applyAlignment="1" applyProtection="1">
      <alignment horizontal="center" vertical="center"/>
      <protection locked="0"/>
    </xf>
    <xf numFmtId="0" fontId="28" fillId="0" borderId="15" xfId="63" applyFont="1" applyBorder="1" applyAlignment="1" applyProtection="1">
      <alignment horizontal="left" vertical="center" wrapText="1"/>
      <protection locked="0"/>
    </xf>
    <xf numFmtId="0" fontId="28" fillId="0" borderId="15" xfId="63" quotePrefix="1" applyFont="1" applyBorder="1" applyAlignment="1" applyProtection="1">
      <alignment horizontal="left" vertical="center" wrapText="1"/>
      <protection locked="0"/>
    </xf>
    <xf numFmtId="0" fontId="18" fillId="0" borderId="15" xfId="86" applyBorder="1" applyAlignment="1" applyProtection="1">
      <alignment horizontal="center" vertical="center" wrapText="1"/>
      <protection locked="0"/>
    </xf>
    <xf numFmtId="0" fontId="18" fillId="0" borderId="15" xfId="86" applyBorder="1" applyAlignment="1" applyProtection="1">
      <alignment horizontal="center" vertical="center"/>
      <protection locked="0"/>
    </xf>
    <xf numFmtId="0" fontId="25" fillId="42" borderId="15" xfId="86" applyFont="1" applyFill="1" applyBorder="1" applyAlignment="1" applyProtection="1">
      <alignment horizontal="center" vertical="center" wrapText="1"/>
      <protection locked="0"/>
    </xf>
    <xf numFmtId="0" fontId="99" fillId="0" borderId="0" xfId="63" applyFont="1" applyAlignment="1" applyProtection="1">
      <alignment horizontal="justify" vertical="center" wrapText="1"/>
      <protection locked="0"/>
    </xf>
    <xf numFmtId="0" fontId="28" fillId="0" borderId="51" xfId="63" applyFont="1" applyBorder="1" applyAlignment="1" applyProtection="1">
      <alignment horizontal="center" vertical="center" wrapText="1"/>
      <protection locked="0"/>
    </xf>
    <xf numFmtId="0" fontId="28" fillId="0" borderId="17" xfId="63" applyFont="1" applyBorder="1" applyAlignment="1" applyProtection="1">
      <alignment horizontal="center" vertical="center" wrapText="1"/>
      <protection locked="0"/>
    </xf>
    <xf numFmtId="0" fontId="28" fillId="0" borderId="34" xfId="63" applyFont="1" applyBorder="1" applyAlignment="1" applyProtection="1">
      <alignment horizontal="center" vertical="center" wrapText="1"/>
      <protection locked="0"/>
    </xf>
    <xf numFmtId="9" fontId="28" fillId="0" borderId="51" xfId="63" applyNumberFormat="1" applyFont="1" applyBorder="1" applyAlignment="1" applyProtection="1">
      <alignment horizontal="center" vertical="center"/>
      <protection locked="0"/>
    </xf>
    <xf numFmtId="9" fontId="28" fillId="0" borderId="17" xfId="63" applyNumberFormat="1" applyFont="1" applyBorder="1" applyAlignment="1" applyProtection="1">
      <alignment horizontal="center" vertical="center"/>
      <protection locked="0"/>
    </xf>
    <xf numFmtId="9" fontId="28" fillId="0" borderId="34" xfId="63" applyNumberFormat="1" applyFont="1" applyBorder="1" applyAlignment="1" applyProtection="1">
      <alignment horizontal="center" vertical="center"/>
      <protection locked="0"/>
    </xf>
    <xf numFmtId="0" fontId="21" fillId="42" borderId="34" xfId="63" applyFont="1" applyFill="1" applyBorder="1" applyAlignment="1" applyProtection="1">
      <alignment horizontal="center" vertical="center" wrapText="1"/>
      <protection locked="0"/>
    </xf>
    <xf numFmtId="0" fontId="83" fillId="0" borderId="0" xfId="63" applyFont="1" applyAlignment="1" applyProtection="1">
      <alignment horizontal="justify" vertical="center" wrapText="1"/>
      <protection locked="0"/>
    </xf>
    <xf numFmtId="178" fontId="28" fillId="0" borderId="0" xfId="70" applyFont="1" applyAlignment="1" applyProtection="1">
      <alignment horizontal="justify" vertical="justify" wrapText="1"/>
      <protection locked="0"/>
    </xf>
    <xf numFmtId="178" fontId="28" fillId="0" borderId="0" xfId="70" applyFont="1" applyAlignment="1" applyProtection="1">
      <alignment horizontal="justify" vertical="center" wrapText="1"/>
      <protection locked="0"/>
    </xf>
    <xf numFmtId="49" fontId="25" fillId="0" borderId="70" xfId="63" applyNumberFormat="1" applyFont="1" applyBorder="1" applyAlignment="1">
      <alignment horizontal="center" vertical="center" wrapText="1"/>
    </xf>
    <xf numFmtId="49" fontId="20" fillId="0" borderId="63" xfId="63" applyNumberFormat="1" applyFont="1" applyBorder="1" applyAlignment="1">
      <alignment horizontal="center" vertical="center" wrapText="1"/>
    </xf>
    <xf numFmtId="179" fontId="20" fillId="0" borderId="67" xfId="63" applyNumberFormat="1" applyFont="1" applyBorder="1" applyAlignment="1">
      <alignment horizontal="center" vertical="center" wrapText="1"/>
    </xf>
    <xf numFmtId="179" fontId="20" fillId="0" borderId="68" xfId="63" applyNumberFormat="1" applyFont="1" applyBorder="1" applyAlignment="1">
      <alignment horizontal="center" vertical="center" wrapText="1"/>
    </xf>
    <xf numFmtId="179" fontId="20" fillId="0" borderId="69" xfId="63" applyNumberFormat="1" applyFont="1" applyBorder="1" applyAlignment="1">
      <alignment horizontal="center" vertical="center" wrapText="1"/>
    </xf>
    <xf numFmtId="14" fontId="20" fillId="0" borderId="63" xfId="63" applyNumberFormat="1" applyFont="1" applyBorder="1" applyAlignment="1">
      <alignment horizontal="center" vertical="center" wrapText="1"/>
    </xf>
    <xf numFmtId="0" fontId="24" fillId="0" borderId="65" xfId="63" applyFont="1" applyBorder="1" applyAlignment="1">
      <alignment horizontal="center" vertical="center" wrapText="1"/>
    </xf>
    <xf numFmtId="0" fontId="24" fillId="0" borderId="9" xfId="63" applyFont="1" applyBorder="1" applyAlignment="1">
      <alignment horizontal="center" vertical="center" wrapText="1"/>
    </xf>
    <xf numFmtId="0" fontId="24" fillId="0" borderId="66" xfId="63" applyFont="1" applyBorder="1" applyAlignment="1">
      <alignment horizontal="center" vertical="center" wrapText="1"/>
    </xf>
    <xf numFmtId="0" fontId="24" fillId="0" borderId="64" xfId="63" applyFont="1" applyBorder="1" applyAlignment="1">
      <alignment horizontal="center" vertical="center" wrapText="1"/>
    </xf>
    <xf numFmtId="0" fontId="24" fillId="0" borderId="0" xfId="63" applyFont="1" applyAlignment="1">
      <alignment horizontal="center" vertical="center" wrapText="1"/>
    </xf>
    <xf numFmtId="0" fontId="24" fillId="0" borderId="73" xfId="63" applyFont="1" applyBorder="1" applyAlignment="1">
      <alignment horizontal="center" vertical="center" wrapText="1"/>
    </xf>
    <xf numFmtId="0" fontId="24" fillId="0" borderId="67" xfId="63" applyFont="1" applyBorder="1" applyAlignment="1">
      <alignment horizontal="center" vertical="center" wrapText="1"/>
    </xf>
    <xf numFmtId="0" fontId="24" fillId="0" borderId="68" xfId="63" applyFont="1" applyBorder="1" applyAlignment="1">
      <alignment horizontal="center" vertical="center" wrapText="1"/>
    </xf>
    <xf numFmtId="0" fontId="24" fillId="0" borderId="69" xfId="63" applyFont="1" applyBorder="1" applyAlignment="1">
      <alignment horizontal="center" vertical="center" wrapText="1"/>
    </xf>
    <xf numFmtId="0" fontId="73" fillId="0" borderId="0" xfId="63" applyFont="1" applyAlignment="1">
      <alignment vertical="center" wrapText="1"/>
    </xf>
    <xf numFmtId="0" fontId="20" fillId="0" borderId="0" xfId="63" applyFont="1" applyAlignment="1">
      <alignment horizontal="left" vertical="center" wrapText="1"/>
    </xf>
    <xf numFmtId="0" fontId="74" fillId="0" borderId="0" xfId="63" applyFont="1" applyAlignment="1">
      <alignment horizontal="left" vertical="center" wrapText="1"/>
    </xf>
    <xf numFmtId="0" fontId="195" fillId="0" borderId="65" xfId="63" applyFont="1" applyBorder="1" applyAlignment="1">
      <alignment horizontal="center" vertical="center" wrapText="1"/>
    </xf>
    <xf numFmtId="0" fontId="195" fillId="0" borderId="9" xfId="63" applyFont="1" applyBorder="1" applyAlignment="1">
      <alignment horizontal="center" vertical="center" wrapText="1"/>
    </xf>
    <xf numFmtId="0" fontId="195" fillId="0" borderId="66" xfId="63" applyFont="1" applyBorder="1" applyAlignment="1">
      <alignment horizontal="center" vertical="center" wrapText="1"/>
    </xf>
    <xf numFmtId="0" fontId="195" fillId="0" borderId="64" xfId="63" applyFont="1" applyBorder="1" applyAlignment="1">
      <alignment horizontal="center" vertical="center" wrapText="1"/>
    </xf>
    <xf numFmtId="0" fontId="195" fillId="0" borderId="0" xfId="63" applyFont="1" applyAlignment="1">
      <alignment horizontal="center" vertical="center" wrapText="1"/>
    </xf>
    <xf numFmtId="0" fontId="195" fillId="0" borderId="73" xfId="63" applyFont="1" applyBorder="1" applyAlignment="1">
      <alignment horizontal="center" vertical="center" wrapText="1"/>
    </xf>
    <xf numFmtId="0" fontId="195" fillId="0" borderId="67" xfId="63" applyFont="1" applyBorder="1" applyAlignment="1">
      <alignment horizontal="center" vertical="center" wrapText="1"/>
    </xf>
    <xf numFmtId="0" fontId="195" fillId="0" borderId="68" xfId="63" applyFont="1" applyBorder="1" applyAlignment="1">
      <alignment horizontal="center" vertical="center" wrapText="1"/>
    </xf>
    <xf numFmtId="0" fontId="195" fillId="0" borderId="69" xfId="63" applyFont="1" applyBorder="1" applyAlignment="1">
      <alignment horizontal="center" vertical="center" wrapText="1"/>
    </xf>
    <xf numFmtId="49" fontId="25" fillId="0" borderId="71" xfId="63" applyNumberFormat="1" applyFont="1" applyBorder="1" applyAlignment="1">
      <alignment horizontal="center" vertical="center" wrapText="1"/>
    </xf>
    <xf numFmtId="49" fontId="25" fillId="0" borderId="72" xfId="63" applyNumberFormat="1" applyFont="1" applyBorder="1" applyAlignment="1">
      <alignment horizontal="center" vertical="center" wrapText="1"/>
    </xf>
    <xf numFmtId="179" fontId="20" fillId="0" borderId="63" xfId="63" applyNumberFormat="1" applyFont="1" applyBorder="1" applyAlignment="1">
      <alignment horizontal="center" vertical="center" wrapText="1"/>
    </xf>
    <xf numFmtId="0" fontId="81" fillId="41" borderId="21" xfId="65" applyFont="1" applyFill="1" applyBorder="1" applyAlignment="1">
      <alignment horizontal="center" vertical="center" wrapText="1"/>
    </xf>
    <xf numFmtId="0" fontId="81" fillId="41" borderId="15" xfId="65" applyFont="1" applyFill="1" applyBorder="1" applyAlignment="1">
      <alignment horizontal="center" vertical="center" wrapText="1"/>
    </xf>
    <xf numFmtId="0" fontId="81" fillId="0" borderId="51" xfId="65" applyFont="1" applyBorder="1" applyAlignment="1">
      <alignment horizontal="center" vertical="center" wrapText="1"/>
    </xf>
    <xf numFmtId="0" fontId="81" fillId="0" borderId="17" xfId="65" applyFont="1" applyBorder="1" applyAlignment="1">
      <alignment horizontal="center" vertical="center" wrapText="1"/>
    </xf>
    <xf numFmtId="0" fontId="81" fillId="0" borderId="34" xfId="65" applyFont="1" applyBorder="1" applyAlignment="1">
      <alignment horizontal="center" vertical="center" wrapText="1"/>
    </xf>
    <xf numFmtId="0" fontId="81" fillId="0" borderId="15" xfId="65" applyFont="1" applyBorder="1" applyAlignment="1">
      <alignment horizontal="center" vertical="center" wrapText="1"/>
    </xf>
    <xf numFmtId="0" fontId="81" fillId="41" borderId="51" xfId="65" applyFont="1" applyFill="1" applyBorder="1" applyAlignment="1">
      <alignment horizontal="center" vertical="center" wrapText="1"/>
    </xf>
    <xf numFmtId="0" fontId="81" fillId="41" borderId="17" xfId="65" applyFont="1" applyFill="1" applyBorder="1" applyAlignment="1">
      <alignment horizontal="center" vertical="center" wrapText="1"/>
    </xf>
    <xf numFmtId="0" fontId="81" fillId="41" borderId="34" xfId="65" applyFont="1" applyFill="1" applyBorder="1" applyAlignment="1">
      <alignment horizontal="center" vertical="center" wrapText="1"/>
    </xf>
    <xf numFmtId="0" fontId="81" fillId="0" borderId="19" xfId="65" applyFont="1" applyBorder="1" applyAlignment="1">
      <alignment horizontal="center" vertical="center" wrapText="1"/>
    </xf>
    <xf numFmtId="0" fontId="62" fillId="0" borderId="19" xfId="63" applyFont="1" applyBorder="1" applyAlignment="1">
      <alignment horizontal="center" vertical="center" wrapText="1"/>
    </xf>
    <xf numFmtId="0" fontId="62" fillId="0" borderId="15" xfId="63" applyFont="1" applyBorder="1" applyAlignment="1">
      <alignment horizontal="center" vertical="center" wrapText="1"/>
    </xf>
    <xf numFmtId="0" fontId="62" fillId="0" borderId="15" xfId="65" applyFont="1" applyBorder="1" applyAlignment="1">
      <alignment vertical="center" wrapText="1"/>
    </xf>
    <xf numFmtId="180" fontId="62" fillId="0" borderId="15" xfId="63" applyNumberFormat="1" applyFont="1" applyBorder="1" applyAlignment="1">
      <alignment horizontal="center" vertical="center"/>
    </xf>
    <xf numFmtId="0" fontId="62" fillId="0" borderId="15" xfId="65" applyFont="1" applyBorder="1" applyAlignment="1">
      <alignment horizontal="center" vertical="center" wrapText="1"/>
    </xf>
    <xf numFmtId="0" fontId="79" fillId="0" borderId="15" xfId="65" applyFont="1" applyBorder="1" applyAlignment="1">
      <alignment horizontal="center" vertical="center" wrapText="1"/>
    </xf>
    <xf numFmtId="180" fontId="62" fillId="0" borderId="74" xfId="63" applyNumberFormat="1" applyFont="1" applyBorder="1" applyAlignment="1">
      <alignment horizontal="center" vertical="center" wrapText="1"/>
    </xf>
    <xf numFmtId="0" fontId="18" fillId="0" borderId="15" xfId="65" applyBorder="1" applyAlignment="1">
      <alignment horizontal="center" vertical="center" wrapText="1"/>
    </xf>
    <xf numFmtId="180" fontId="18" fillId="0" borderId="15" xfId="65" applyNumberFormat="1" applyBorder="1" applyAlignment="1">
      <alignment horizontal="center" vertical="center" wrapText="1"/>
    </xf>
    <xf numFmtId="0" fontId="159" fillId="45" borderId="80" xfId="0" applyFont="1" applyFill="1" applyBorder="1" applyAlignment="1" applyProtection="1">
      <alignment horizontal="center" vertical="center" textRotation="90" wrapText="1"/>
      <protection locked="0"/>
    </xf>
    <xf numFmtId="0" fontId="159" fillId="45" borderId="82" xfId="0" applyFont="1" applyFill="1" applyBorder="1" applyAlignment="1" applyProtection="1">
      <alignment horizontal="center" vertical="center" textRotation="90" wrapText="1"/>
      <protection locked="0"/>
    </xf>
    <xf numFmtId="178" fontId="172" fillId="0" borderId="0" xfId="61" applyFont="1" applyAlignment="1" applyProtection="1">
      <alignment horizontal="left" vertical="center" wrapText="1"/>
      <protection hidden="1"/>
    </xf>
    <xf numFmtId="178" fontId="189" fillId="0" borderId="0" xfId="61" applyFont="1" applyAlignment="1" applyProtection="1">
      <alignment horizontal="left" vertical="center"/>
      <protection hidden="1"/>
    </xf>
    <xf numFmtId="0" fontId="172" fillId="0" borderId="0" xfId="61" applyNumberFormat="1" applyFont="1" applyAlignment="1" applyProtection="1">
      <alignment horizontal="left" vertical="center" wrapText="1"/>
      <protection hidden="1"/>
    </xf>
    <xf numFmtId="9" fontId="159" fillId="45" borderId="80" xfId="0" applyNumberFormat="1" applyFont="1" applyFill="1" applyBorder="1" applyAlignment="1" applyProtection="1">
      <alignment horizontal="center" vertical="center" textRotation="90" wrapText="1"/>
      <protection locked="0"/>
    </xf>
    <xf numFmtId="9" fontId="159" fillId="45" borderId="82" xfId="0" applyNumberFormat="1" applyFont="1" applyFill="1" applyBorder="1" applyAlignment="1" applyProtection="1">
      <alignment horizontal="center" vertical="center" textRotation="90" wrapText="1"/>
      <protection locked="0"/>
    </xf>
    <xf numFmtId="167" fontId="158" fillId="45" borderId="80" xfId="0" applyNumberFormat="1" applyFont="1" applyFill="1" applyBorder="1" applyAlignment="1" applyProtection="1">
      <alignment horizontal="center" vertical="center" textRotation="90" wrapText="1"/>
      <protection locked="0"/>
    </xf>
    <xf numFmtId="167" fontId="158" fillId="45" borderId="80" xfId="47" applyNumberFormat="1" applyFont="1" applyFill="1" applyBorder="1" applyAlignment="1" applyProtection="1">
      <alignment horizontal="center" vertical="center" textRotation="90" wrapText="1"/>
      <protection locked="0"/>
    </xf>
    <xf numFmtId="167" fontId="158" fillId="45" borderId="82" xfId="47" applyNumberFormat="1" applyFont="1" applyFill="1" applyBorder="1" applyAlignment="1" applyProtection="1">
      <alignment horizontal="center" vertical="center" textRotation="90" wrapText="1"/>
      <protection locked="0"/>
    </xf>
    <xf numFmtId="0" fontId="159" fillId="45" borderId="80" xfId="0" applyFont="1" applyFill="1" applyBorder="1" applyAlignment="1" applyProtection="1">
      <alignment horizontal="center" vertical="center" wrapText="1"/>
      <protection locked="0"/>
    </xf>
    <xf numFmtId="0" fontId="159" fillId="45" borderId="82" xfId="0" applyFont="1" applyFill="1" applyBorder="1" applyAlignment="1" applyProtection="1">
      <alignment horizontal="center" vertical="center" wrapText="1"/>
      <protection locked="0"/>
    </xf>
    <xf numFmtId="167" fontId="158" fillId="45" borderId="82" xfId="0" applyNumberFormat="1" applyFont="1" applyFill="1" applyBorder="1" applyAlignment="1" applyProtection="1">
      <alignment horizontal="center" vertical="center" textRotation="90" wrapText="1"/>
      <protection locked="0"/>
    </xf>
    <xf numFmtId="178" fontId="158" fillId="45" borderId="80" xfId="61" applyFont="1" applyFill="1" applyBorder="1" applyAlignment="1" applyProtection="1">
      <alignment horizontal="center" vertical="center" textRotation="90" wrapText="1"/>
      <protection locked="0"/>
    </xf>
    <xf numFmtId="178" fontId="158" fillId="45" borderId="80" xfId="61" applyFont="1" applyFill="1" applyBorder="1" applyAlignment="1" applyProtection="1">
      <alignment horizontal="center" vertical="center" wrapText="1"/>
      <protection locked="0"/>
    </xf>
    <xf numFmtId="14" fontId="178" fillId="0" borderId="0" xfId="98" applyNumberFormat="1" applyFont="1" applyAlignment="1">
      <alignment horizontal="left" vertical="center"/>
    </xf>
    <xf numFmtId="0" fontId="178" fillId="0" borderId="0" xfId="98" applyFont="1" applyAlignment="1">
      <alignment horizontal="left" vertical="center"/>
    </xf>
    <xf numFmtId="167" fontId="171" fillId="50" borderId="78" xfId="0" applyNumberFormat="1" applyFont="1" applyFill="1" applyBorder="1" applyAlignment="1" applyProtection="1">
      <alignment horizontal="center" vertical="center" wrapText="1"/>
      <protection locked="0"/>
    </xf>
    <xf numFmtId="167" fontId="158" fillId="45" borderId="80" xfId="0" applyNumberFormat="1" applyFont="1" applyFill="1" applyBorder="1" applyAlignment="1" applyProtection="1">
      <alignment horizontal="center" vertical="center" wrapText="1"/>
      <protection locked="0"/>
    </xf>
    <xf numFmtId="0" fontId="159" fillId="45" borderId="80" xfId="0" applyFont="1" applyFill="1" applyBorder="1" applyAlignment="1" applyProtection="1">
      <alignment horizontal="center" vertical="center"/>
      <protection locked="0"/>
    </xf>
    <xf numFmtId="167" fontId="171" fillId="0" borderId="84" xfId="0" applyNumberFormat="1" applyFont="1" applyBorder="1" applyAlignment="1" applyProtection="1">
      <alignment horizontal="center" vertical="center"/>
      <protection locked="0"/>
    </xf>
    <xf numFmtId="167" fontId="169" fillId="50" borderId="78" xfId="0" applyNumberFormat="1" applyFont="1" applyFill="1" applyBorder="1" applyAlignment="1" applyProtection="1">
      <alignment horizontal="center" vertical="center"/>
      <protection locked="0"/>
    </xf>
    <xf numFmtId="168" fontId="159" fillId="45" borderId="80" xfId="0" applyNumberFormat="1" applyFont="1" applyFill="1" applyBorder="1" applyAlignment="1" applyProtection="1">
      <alignment horizontal="right" vertical="center" textRotation="90" wrapText="1"/>
      <protection locked="0"/>
    </xf>
    <xf numFmtId="167" fontId="158" fillId="45" borderId="80" xfId="0" applyNumberFormat="1" applyFont="1" applyFill="1" applyBorder="1" applyAlignment="1" applyProtection="1">
      <alignment horizontal="center" vertical="center" textRotation="90"/>
      <protection locked="0"/>
    </xf>
    <xf numFmtId="167" fontId="158" fillId="45" borderId="82" xfId="0" applyNumberFormat="1" applyFont="1" applyFill="1" applyBorder="1" applyAlignment="1" applyProtection="1">
      <alignment horizontal="center" vertical="center" textRotation="90"/>
      <protection locked="0"/>
    </xf>
    <xf numFmtId="167" fontId="158" fillId="45" borderId="82" xfId="0" applyNumberFormat="1" applyFont="1" applyFill="1" applyBorder="1" applyAlignment="1" applyProtection="1">
      <alignment horizontal="center" vertical="center" wrapText="1"/>
      <protection locked="0"/>
    </xf>
    <xf numFmtId="2" fontId="158" fillId="45" borderId="80" xfId="0" applyNumberFormat="1" applyFont="1" applyFill="1" applyBorder="1" applyAlignment="1" applyProtection="1">
      <alignment horizontal="center" vertical="center" wrapText="1"/>
      <protection locked="0"/>
    </xf>
    <xf numFmtId="2" fontId="158" fillId="45" borderId="82" xfId="0" applyNumberFormat="1" applyFont="1" applyFill="1" applyBorder="1" applyAlignment="1" applyProtection="1">
      <alignment horizontal="center" vertical="center" wrapText="1"/>
      <protection locked="0"/>
    </xf>
    <xf numFmtId="9" fontId="159" fillId="45" borderId="80" xfId="47" applyNumberFormat="1" applyFont="1" applyFill="1" applyBorder="1" applyAlignment="1" applyProtection="1">
      <alignment horizontal="center" vertical="center" textRotation="90" wrapText="1"/>
      <protection locked="0"/>
    </xf>
    <xf numFmtId="9" fontId="159" fillId="45" borderId="82" xfId="47" applyNumberFormat="1" applyFont="1" applyFill="1" applyBorder="1" applyAlignment="1" applyProtection="1">
      <alignment horizontal="center" vertical="center" textRotation="90" wrapText="1"/>
      <protection locked="0"/>
    </xf>
    <xf numFmtId="178" fontId="69" fillId="34" borderId="15" xfId="61" applyFont="1" applyFill="1" applyBorder="1" applyAlignment="1" applyProtection="1">
      <alignment horizontal="center" vertical="center" wrapText="1"/>
      <protection hidden="1"/>
    </xf>
    <xf numFmtId="9" fontId="159" fillId="45" borderId="21" xfId="0" applyNumberFormat="1" applyFont="1" applyFill="1" applyBorder="1" applyAlignment="1" applyProtection="1">
      <alignment horizontal="center" vertical="center" textRotation="90" wrapText="1"/>
      <protection locked="0"/>
    </xf>
    <xf numFmtId="9" fontId="159" fillId="45" borderId="47" xfId="0" applyNumberFormat="1" applyFont="1" applyFill="1" applyBorder="1" applyAlignment="1" applyProtection="1">
      <alignment horizontal="center" vertical="center" textRotation="90" wrapText="1"/>
      <protection locked="0"/>
    </xf>
    <xf numFmtId="9" fontId="159" fillId="45" borderId="19" xfId="0" applyNumberFormat="1" applyFont="1" applyFill="1" applyBorder="1" applyAlignment="1" applyProtection="1">
      <alignment horizontal="center" vertical="center" textRotation="90" wrapText="1"/>
      <protection locked="0"/>
    </xf>
    <xf numFmtId="0" fontId="141" fillId="45" borderId="21" xfId="0" applyFont="1" applyFill="1" applyBorder="1" applyAlignment="1" applyProtection="1">
      <alignment horizontal="center" vertical="center" wrapText="1"/>
      <protection locked="0" hidden="1"/>
    </xf>
    <xf numFmtId="0" fontId="141" fillId="45" borderId="47" xfId="0" applyFont="1" applyFill="1" applyBorder="1" applyAlignment="1" applyProtection="1">
      <alignment horizontal="center" vertical="center" wrapText="1"/>
      <protection locked="0" hidden="1"/>
    </xf>
    <xf numFmtId="0" fontId="141" fillId="45" borderId="19" xfId="0" applyFont="1" applyFill="1" applyBorder="1" applyAlignment="1" applyProtection="1">
      <alignment horizontal="center" vertical="center" wrapText="1"/>
      <protection locked="0" hidden="1"/>
    </xf>
    <xf numFmtId="0" fontId="159" fillId="45" borderId="21" xfId="0" applyFont="1" applyFill="1" applyBorder="1" applyAlignment="1" applyProtection="1">
      <alignment horizontal="center" vertical="center"/>
      <protection locked="0" hidden="1"/>
    </xf>
    <xf numFmtId="0" fontId="159" fillId="45" borderId="19" xfId="0" applyFont="1" applyFill="1" applyBorder="1" applyAlignment="1" applyProtection="1">
      <alignment horizontal="center" vertical="center"/>
      <protection locked="0" hidden="1"/>
    </xf>
    <xf numFmtId="0" fontId="159" fillId="45" borderId="21" xfId="0" applyFont="1" applyFill="1" applyBorder="1" applyAlignment="1" applyProtection="1">
      <alignment horizontal="center" vertical="center" textRotation="90" wrapText="1"/>
      <protection locked="0" hidden="1"/>
    </xf>
    <xf numFmtId="0" fontId="159" fillId="45" borderId="19" xfId="0" applyFont="1" applyFill="1" applyBorder="1" applyAlignment="1" applyProtection="1">
      <alignment horizontal="center" vertical="center" textRotation="90" wrapText="1"/>
      <protection locked="0" hidden="1"/>
    </xf>
    <xf numFmtId="0" fontId="159" fillId="45" borderId="15" xfId="0" applyFont="1" applyFill="1" applyBorder="1" applyAlignment="1" applyProtection="1">
      <alignment horizontal="center" vertical="center"/>
      <protection locked="0" hidden="1"/>
    </xf>
    <xf numFmtId="178" fontId="69" fillId="34" borderId="17" xfId="61" applyFont="1" applyFill="1" applyBorder="1" applyAlignment="1" applyProtection="1">
      <alignment horizontal="center" vertical="center" wrapText="1"/>
      <protection hidden="1"/>
    </xf>
    <xf numFmtId="178" fontId="69" fillId="34" borderId="34" xfId="61" applyFont="1" applyFill="1" applyBorder="1" applyAlignment="1" applyProtection="1">
      <alignment horizontal="center" vertical="center" wrapText="1"/>
      <protection hidden="1"/>
    </xf>
    <xf numFmtId="178" fontId="26" fillId="34" borderId="17" xfId="61" applyFont="1" applyFill="1" applyBorder="1" applyAlignment="1" applyProtection="1">
      <alignment horizontal="center" vertical="center" wrapText="1"/>
      <protection hidden="1"/>
    </xf>
    <xf numFmtId="178" fontId="26" fillId="34" borderId="34" xfId="61" applyFont="1" applyFill="1" applyBorder="1" applyAlignment="1" applyProtection="1">
      <alignment horizontal="center" vertical="center" wrapText="1"/>
      <protection hidden="1"/>
    </xf>
    <xf numFmtId="0" fontId="159" fillId="45" borderId="33" xfId="0" applyFont="1" applyFill="1" applyBorder="1" applyAlignment="1" applyProtection="1">
      <alignment horizontal="center" vertical="center"/>
      <protection locked="0"/>
    </xf>
    <xf numFmtId="0" fontId="159" fillId="45" borderId="38" xfId="0" applyFont="1" applyFill="1" applyBorder="1" applyAlignment="1" applyProtection="1">
      <alignment horizontal="center" vertical="center"/>
      <protection locked="0"/>
    </xf>
    <xf numFmtId="0" fontId="159" fillId="45" borderId="49" xfId="0" applyFont="1" applyFill="1" applyBorder="1" applyAlignment="1" applyProtection="1">
      <alignment horizontal="center" vertical="center"/>
      <protection locked="0"/>
    </xf>
    <xf numFmtId="0" fontId="159" fillId="45" borderId="37" xfId="0" applyFont="1" applyFill="1" applyBorder="1" applyAlignment="1" applyProtection="1">
      <alignment horizontal="center" vertical="center"/>
      <protection locked="0"/>
    </xf>
    <xf numFmtId="0" fontId="159" fillId="45" borderId="21" xfId="0" applyFont="1" applyFill="1" applyBorder="1" applyAlignment="1" applyProtection="1">
      <alignment horizontal="center" vertical="center" wrapText="1"/>
      <protection locked="0"/>
    </xf>
    <xf numFmtId="0" fontId="159" fillId="45" borderId="19" xfId="0" applyFont="1" applyFill="1" applyBorder="1" applyAlignment="1" applyProtection="1">
      <alignment horizontal="center" vertical="center" wrapText="1"/>
      <protection locked="0"/>
    </xf>
    <xf numFmtId="0" fontId="142" fillId="45" borderId="21" xfId="0" applyFont="1" applyFill="1" applyBorder="1" applyAlignment="1" applyProtection="1">
      <alignment horizontal="center" vertical="center" wrapText="1"/>
      <protection locked="0"/>
    </xf>
    <xf numFmtId="0" fontId="142" fillId="45" borderId="19" xfId="0" applyFont="1" applyFill="1" applyBorder="1" applyAlignment="1" applyProtection="1">
      <alignment horizontal="center" vertical="center" wrapText="1"/>
      <protection locked="0"/>
    </xf>
    <xf numFmtId="0" fontId="159" fillId="45" borderId="38" xfId="0" applyFont="1" applyFill="1" applyBorder="1" applyAlignment="1" applyProtection="1">
      <alignment horizontal="center" vertical="center" textRotation="90" wrapText="1"/>
      <protection locked="0"/>
    </xf>
    <xf numFmtId="0" fontId="159" fillId="45" borderId="37" xfId="0" applyFont="1" applyFill="1" applyBorder="1" applyAlignment="1" applyProtection="1">
      <alignment horizontal="center" vertical="center" textRotation="90" wrapText="1"/>
      <protection locked="0"/>
    </xf>
    <xf numFmtId="0" fontId="159" fillId="45" borderId="33" xfId="0" applyFont="1" applyFill="1" applyBorder="1" applyAlignment="1" applyProtection="1">
      <alignment horizontal="center" vertical="center" textRotation="90" wrapText="1"/>
      <protection locked="0"/>
    </xf>
    <xf numFmtId="0" fontId="159" fillId="45" borderId="49" xfId="0" applyFont="1" applyFill="1" applyBorder="1" applyAlignment="1" applyProtection="1">
      <alignment horizontal="center" vertical="center" textRotation="90" wrapText="1"/>
      <protection locked="0"/>
    </xf>
    <xf numFmtId="9" fontId="159" fillId="45" borderId="38" xfId="0" applyNumberFormat="1" applyFont="1" applyFill="1" applyBorder="1" applyAlignment="1" applyProtection="1">
      <alignment horizontal="center" vertical="center" textRotation="90" wrapText="1"/>
      <protection locked="0"/>
    </xf>
    <xf numFmtId="9" fontId="159" fillId="45" borderId="29" xfId="0" applyNumberFormat="1" applyFont="1" applyFill="1" applyBorder="1" applyAlignment="1" applyProtection="1">
      <alignment horizontal="center" vertical="center" textRotation="90" wrapText="1"/>
      <protection locked="0"/>
    </xf>
    <xf numFmtId="9" fontId="159" fillId="45" borderId="37" xfId="0" applyNumberFormat="1" applyFont="1" applyFill="1" applyBorder="1" applyAlignment="1" applyProtection="1">
      <alignment horizontal="center" vertical="center" textRotation="90" wrapText="1"/>
      <protection locked="0"/>
    </xf>
    <xf numFmtId="0" fontId="159" fillId="45" borderId="33" xfId="0" applyFont="1" applyFill="1" applyBorder="1" applyAlignment="1" applyProtection="1">
      <alignment horizontal="center" vertical="center" wrapText="1"/>
      <protection locked="0"/>
    </xf>
    <xf numFmtId="0" fontId="159" fillId="45" borderId="38" xfId="0" applyFont="1" applyFill="1" applyBorder="1" applyAlignment="1" applyProtection="1">
      <alignment horizontal="center" vertical="center" wrapText="1"/>
      <protection locked="0"/>
    </xf>
    <xf numFmtId="0" fontId="159" fillId="45" borderId="49" xfId="0" applyFont="1" applyFill="1" applyBorder="1" applyAlignment="1" applyProtection="1">
      <alignment horizontal="center" vertical="center" wrapText="1"/>
      <protection locked="0"/>
    </xf>
    <xf numFmtId="0" fontId="159" fillId="45" borderId="37" xfId="0" applyFont="1" applyFill="1" applyBorder="1" applyAlignment="1" applyProtection="1">
      <alignment horizontal="center" vertical="center" wrapText="1"/>
      <protection locked="0"/>
    </xf>
    <xf numFmtId="178" fontId="26" fillId="34" borderId="15" xfId="61" applyFont="1" applyFill="1" applyBorder="1" applyAlignment="1" applyProtection="1">
      <alignment horizontal="center" vertical="center" wrapText="1"/>
      <protection hidden="1"/>
    </xf>
    <xf numFmtId="0" fontId="159" fillId="45" borderId="48" xfId="0" applyFont="1" applyFill="1" applyBorder="1" applyAlignment="1" applyProtection="1">
      <alignment horizontal="center" vertical="center"/>
      <protection locked="0"/>
    </xf>
    <xf numFmtId="0" fontId="159" fillId="45" borderId="29" xfId="0" applyFont="1" applyFill="1" applyBorder="1" applyAlignment="1" applyProtection="1">
      <alignment horizontal="center" vertical="center"/>
      <protection locked="0"/>
    </xf>
    <xf numFmtId="167" fontId="158" fillId="0" borderId="51" xfId="0" applyNumberFormat="1" applyFont="1" applyBorder="1" applyAlignment="1" applyProtection="1">
      <alignment horizontal="center" vertical="center"/>
      <protection locked="0" hidden="1"/>
    </xf>
    <xf numFmtId="167" fontId="158" fillId="0" borderId="17" xfId="0" applyNumberFormat="1" applyFont="1" applyBorder="1" applyAlignment="1" applyProtection="1">
      <alignment horizontal="center" vertical="center"/>
      <protection locked="0" hidden="1"/>
    </xf>
    <xf numFmtId="167" fontId="158" fillId="0" borderId="34" xfId="0" applyNumberFormat="1" applyFont="1" applyBorder="1" applyAlignment="1" applyProtection="1">
      <alignment horizontal="center" vertical="center"/>
      <protection locked="0" hidden="1"/>
    </xf>
    <xf numFmtId="0" fontId="162" fillId="0" borderId="15" xfId="0" applyFont="1" applyBorder="1" applyAlignment="1" applyProtection="1">
      <alignment horizontal="center" wrapText="1"/>
      <protection locked="0" hidden="1"/>
    </xf>
    <xf numFmtId="0" fontId="165" fillId="45" borderId="15" xfId="0" applyFont="1" applyFill="1" applyBorder="1" applyAlignment="1" applyProtection="1">
      <alignment horizontal="center" vertical="center" wrapText="1"/>
      <protection locked="0" hidden="1"/>
    </xf>
    <xf numFmtId="0" fontId="159" fillId="45" borderId="47" xfId="0" applyFont="1" applyFill="1" applyBorder="1" applyAlignment="1" applyProtection="1">
      <alignment horizontal="center" vertical="center" textRotation="90" wrapText="1"/>
      <protection locked="0" hidden="1"/>
    </xf>
    <xf numFmtId="168" fontId="159" fillId="45" borderId="21" xfId="47" applyNumberFormat="1" applyFont="1" applyFill="1" applyBorder="1" applyAlignment="1" applyProtection="1">
      <alignment horizontal="center" vertical="center" textRotation="90" wrapText="1"/>
      <protection locked="0" hidden="1"/>
    </xf>
    <xf numFmtId="168" fontId="159" fillId="45" borderId="47" xfId="47" applyNumberFormat="1" applyFont="1" applyFill="1" applyBorder="1" applyAlignment="1" applyProtection="1">
      <alignment horizontal="center" vertical="center" textRotation="90" wrapText="1"/>
      <protection locked="0" hidden="1"/>
    </xf>
    <xf numFmtId="9" fontId="159" fillId="45" borderId="21" xfId="47" applyNumberFormat="1" applyFont="1" applyFill="1" applyBorder="1" applyAlignment="1" applyProtection="1">
      <alignment horizontal="center" vertical="center" textRotation="90" wrapText="1"/>
      <protection locked="0" hidden="1"/>
    </xf>
    <xf numFmtId="0" fontId="162" fillId="45" borderId="19" xfId="0" applyFont="1" applyFill="1" applyBorder="1" applyProtection="1">
      <protection locked="0" hidden="1"/>
    </xf>
    <xf numFmtId="0" fontId="162" fillId="0" borderId="51" xfId="0" applyFont="1" applyBorder="1" applyAlignment="1" applyProtection="1">
      <alignment horizontal="center" wrapText="1"/>
      <protection locked="0" hidden="1"/>
    </xf>
    <xf numFmtId="0" fontId="162" fillId="0" borderId="17" xfId="0" applyFont="1" applyBorder="1" applyAlignment="1" applyProtection="1">
      <alignment horizontal="center" wrapText="1"/>
      <protection locked="0" hidden="1"/>
    </xf>
    <xf numFmtId="0" fontId="162" fillId="0" borderId="34" xfId="0" applyFont="1" applyBorder="1" applyAlignment="1" applyProtection="1">
      <alignment horizontal="center" wrapText="1"/>
      <protection locked="0" hidden="1"/>
    </xf>
    <xf numFmtId="0" fontId="168" fillId="45" borderId="33" xfId="0" applyFont="1" applyFill="1" applyBorder="1" applyAlignment="1" applyProtection="1">
      <alignment horizontal="center" vertical="center" wrapText="1"/>
      <protection locked="0" hidden="1"/>
    </xf>
    <xf numFmtId="0" fontId="168" fillId="45" borderId="47" xfId="0" applyFont="1" applyFill="1" applyBorder="1" applyAlignment="1" applyProtection="1">
      <alignment horizontal="center" vertical="center" wrapText="1"/>
      <protection locked="0" hidden="1"/>
    </xf>
    <xf numFmtId="0" fontId="168" fillId="45" borderId="19" xfId="0" applyFont="1" applyFill="1" applyBorder="1" applyAlignment="1" applyProtection="1">
      <alignment horizontal="center" vertical="center" wrapText="1"/>
      <protection locked="0" hidden="1"/>
    </xf>
    <xf numFmtId="0" fontId="161" fillId="45" borderId="0" xfId="0" applyFont="1" applyFill="1" applyAlignment="1" applyProtection="1">
      <alignment horizontal="center" vertical="center"/>
      <protection locked="0" hidden="1"/>
    </xf>
    <xf numFmtId="167" fontId="149" fillId="0" borderId="51" xfId="0" applyNumberFormat="1" applyFont="1" applyBorder="1" applyAlignment="1" applyProtection="1">
      <alignment horizontal="center" vertical="center" wrapText="1"/>
      <protection locked="0"/>
    </xf>
    <xf numFmtId="167" fontId="149" fillId="0" borderId="34" xfId="0" applyNumberFormat="1" applyFont="1" applyBorder="1" applyAlignment="1" applyProtection="1">
      <alignment horizontal="center" vertical="center" wrapText="1"/>
      <protection locked="0"/>
    </xf>
    <xf numFmtId="0" fontId="159" fillId="45" borderId="21" xfId="0" applyFont="1" applyFill="1" applyBorder="1" applyAlignment="1" applyProtection="1">
      <alignment horizontal="center" vertical="center" wrapText="1"/>
      <protection locked="0" hidden="1"/>
    </xf>
    <xf numFmtId="0" fontId="159" fillId="45" borderId="47" xfId="0" applyFont="1" applyFill="1" applyBorder="1" applyAlignment="1" applyProtection="1">
      <alignment horizontal="center" vertical="center" wrapText="1"/>
      <protection locked="0" hidden="1"/>
    </xf>
    <xf numFmtId="0" fontId="159" fillId="45" borderId="19" xfId="0" applyFont="1" applyFill="1" applyBorder="1" applyAlignment="1" applyProtection="1">
      <alignment horizontal="center" vertical="center" wrapText="1"/>
      <protection locked="0" hidden="1"/>
    </xf>
    <xf numFmtId="0" fontId="25" fillId="44" borderId="15" xfId="0" applyFont="1" applyFill="1" applyBorder="1" applyAlignment="1">
      <alignment horizontal="center" vertical="center" wrapText="1"/>
    </xf>
    <xf numFmtId="0" fontId="0" fillId="0" borderId="13" xfId="0" applyBorder="1" applyAlignment="1">
      <alignment horizontal="center"/>
    </xf>
    <xf numFmtId="0" fontId="87" fillId="35" borderId="50" xfId="72" applyFont="1" applyFill="1" applyBorder="1" applyAlignment="1">
      <alignment horizontal="center" vertical="center" wrapText="1"/>
    </xf>
    <xf numFmtId="0" fontId="87" fillId="35" borderId="23" xfId="72" applyFont="1" applyFill="1" applyBorder="1" applyAlignment="1">
      <alignment horizontal="center" vertical="center" wrapText="1"/>
    </xf>
    <xf numFmtId="0" fontId="18" fillId="0" borderId="15" xfId="0" applyFont="1" applyBorder="1" applyAlignment="1">
      <alignment horizontal="center" vertical="center" wrapText="1"/>
    </xf>
    <xf numFmtId="0" fontId="18" fillId="0" borderId="0" xfId="0" applyFont="1" applyAlignment="1">
      <alignment horizontal="left" vertical="center" wrapText="1"/>
    </xf>
    <xf numFmtId="0" fontId="25" fillId="0" borderId="0" xfId="0" applyFont="1" applyAlignment="1">
      <alignment horizontal="center" vertical="center"/>
    </xf>
    <xf numFmtId="186" fontId="25" fillId="0" borderId="15" xfId="0" applyNumberFormat="1" applyFont="1" applyBorder="1" applyAlignment="1">
      <alignment horizontal="center" vertical="center"/>
    </xf>
    <xf numFmtId="0" fontId="25" fillId="0" borderId="15" xfId="0" applyFont="1" applyBorder="1" applyAlignment="1">
      <alignment horizontal="center" vertical="center"/>
    </xf>
    <xf numFmtId="0" fontId="0" fillId="0" borderId="15" xfId="0" applyBorder="1" applyAlignment="1">
      <alignment horizontal="center" vertical="center" wrapText="1"/>
    </xf>
    <xf numFmtId="0" fontId="25" fillId="40" borderId="15" xfId="0" applyFont="1" applyFill="1" applyBorder="1" applyAlignment="1">
      <alignment horizontal="center" vertical="center"/>
    </xf>
    <xf numFmtId="0" fontId="18" fillId="0" borderId="15" xfId="0" applyFont="1" applyBorder="1" applyAlignment="1">
      <alignment horizontal="center"/>
    </xf>
    <xf numFmtId="0" fontId="25" fillId="0" borderId="51" xfId="0" applyFont="1" applyBorder="1" applyAlignment="1">
      <alignment horizontal="center" vertical="center"/>
    </xf>
    <xf numFmtId="0" fontId="25" fillId="0" borderId="17" xfId="0" applyFont="1" applyBorder="1" applyAlignment="1">
      <alignment horizontal="center" vertical="center"/>
    </xf>
    <xf numFmtId="0" fontId="25" fillId="0" borderId="34" xfId="0" applyFont="1" applyBorder="1" applyAlignment="1">
      <alignment horizontal="center" vertical="center"/>
    </xf>
    <xf numFmtId="167" fontId="149" fillId="45" borderId="80" xfId="0" applyNumberFormat="1" applyFont="1" applyFill="1" applyBorder="1" applyAlignment="1" applyProtection="1">
      <alignment horizontal="center" vertical="center" textRotation="90"/>
      <protection locked="0"/>
    </xf>
    <xf numFmtId="167" fontId="149" fillId="45" borderId="82" xfId="0" applyNumberFormat="1" applyFont="1" applyFill="1" applyBorder="1" applyAlignment="1" applyProtection="1">
      <alignment horizontal="center" vertical="center" textRotation="90"/>
      <protection locked="0"/>
    </xf>
    <xf numFmtId="0" fontId="150" fillId="45" borderId="80" xfId="0" applyFont="1" applyFill="1" applyBorder="1" applyAlignment="1" applyProtection="1">
      <alignment horizontal="center" vertical="center" wrapText="1"/>
      <protection locked="0"/>
    </xf>
    <xf numFmtId="0" fontId="150" fillId="45" borderId="82" xfId="0" applyFont="1" applyFill="1" applyBorder="1" applyAlignment="1" applyProtection="1">
      <alignment horizontal="center" vertical="center" wrapText="1"/>
      <protection locked="0"/>
    </xf>
    <xf numFmtId="167" fontId="26" fillId="0" borderId="51" xfId="0" applyNumberFormat="1" applyFont="1" applyBorder="1" applyAlignment="1" applyProtection="1">
      <alignment horizontal="center" vertical="center"/>
      <protection locked="0" hidden="1"/>
    </xf>
    <xf numFmtId="167" fontId="26" fillId="0" borderId="17" xfId="0" applyNumberFormat="1" applyFont="1" applyBorder="1" applyAlignment="1" applyProtection="1">
      <alignment horizontal="center" vertical="center"/>
      <protection locked="0" hidden="1"/>
    </xf>
    <xf numFmtId="167" fontId="26" fillId="0" borderId="34" xfId="0" applyNumberFormat="1" applyFont="1" applyBorder="1" applyAlignment="1" applyProtection="1">
      <alignment horizontal="center" vertical="center"/>
      <protection locked="0" hidden="1"/>
    </xf>
    <xf numFmtId="167" fontId="149" fillId="45" borderId="80" xfId="0" applyNumberFormat="1" applyFont="1" applyFill="1" applyBorder="1" applyAlignment="1" applyProtection="1">
      <alignment horizontal="center" vertical="center" textRotation="90" wrapText="1"/>
      <protection locked="0"/>
    </xf>
    <xf numFmtId="167" fontId="149" fillId="45" borderId="82" xfId="0" applyNumberFormat="1" applyFont="1" applyFill="1" applyBorder="1" applyAlignment="1" applyProtection="1">
      <alignment horizontal="center" vertical="center" textRotation="90" wrapText="1"/>
      <protection locked="0"/>
    </xf>
    <xf numFmtId="167" fontId="149" fillId="45" borderId="80" xfId="65" applyNumberFormat="1" applyFont="1" applyFill="1" applyBorder="1" applyAlignment="1" applyProtection="1">
      <alignment horizontal="center" vertical="center" textRotation="90" wrapText="1"/>
      <protection locked="0"/>
    </xf>
    <xf numFmtId="167" fontId="149" fillId="45" borderId="82" xfId="65" applyNumberFormat="1" applyFont="1" applyFill="1" applyBorder="1" applyAlignment="1" applyProtection="1">
      <alignment horizontal="center" vertical="center" textRotation="90" wrapText="1"/>
      <protection locked="0"/>
    </xf>
    <xf numFmtId="167" fontId="149" fillId="45" borderId="80" xfId="0" applyNumberFormat="1" applyFont="1" applyFill="1" applyBorder="1" applyAlignment="1" applyProtection="1">
      <alignment horizontal="center" vertical="center" wrapText="1"/>
      <protection locked="0"/>
    </xf>
    <xf numFmtId="9" fontId="25" fillId="38" borderId="21" xfId="0" applyNumberFormat="1" applyFont="1" applyFill="1" applyBorder="1" applyAlignment="1" applyProtection="1">
      <alignment horizontal="center" vertical="center" textRotation="90" wrapText="1"/>
      <protection locked="0"/>
    </xf>
    <xf numFmtId="9" fontId="25" fillId="38" borderId="47" xfId="0" applyNumberFormat="1" applyFont="1" applyFill="1" applyBorder="1" applyAlignment="1" applyProtection="1">
      <alignment horizontal="center" vertical="center" textRotation="90" wrapText="1"/>
      <protection locked="0"/>
    </xf>
    <xf numFmtId="9" fontId="25" fillId="38" borderId="19" xfId="0" applyNumberFormat="1" applyFont="1" applyFill="1" applyBorder="1" applyAlignment="1" applyProtection="1">
      <alignment horizontal="center" vertical="center" textRotation="90" wrapText="1"/>
      <protection locked="0"/>
    </xf>
    <xf numFmtId="1" fontId="18" fillId="27" borderId="51" xfId="0" applyNumberFormat="1" applyFont="1" applyFill="1" applyBorder="1" applyAlignment="1" applyProtection="1">
      <alignment horizontal="center" vertical="center"/>
      <protection locked="0"/>
    </xf>
    <xf numFmtId="1" fontId="18" fillId="27" borderId="34" xfId="0" applyNumberFormat="1" applyFont="1" applyFill="1" applyBorder="1" applyAlignment="1" applyProtection="1">
      <alignment horizontal="center" vertical="center"/>
      <protection locked="0"/>
    </xf>
    <xf numFmtId="1" fontId="20" fillId="27" borderId="21" xfId="0" applyNumberFormat="1" applyFont="1" applyFill="1" applyBorder="1" applyAlignment="1" applyProtection="1">
      <alignment horizontal="center" vertical="center" textRotation="45"/>
      <protection locked="0"/>
    </xf>
    <xf numFmtId="1" fontId="20" fillId="27" borderId="19" xfId="0" applyNumberFormat="1" applyFont="1" applyFill="1" applyBorder="1" applyAlignment="1" applyProtection="1">
      <alignment horizontal="center" vertical="center" textRotation="45"/>
      <protection locked="0"/>
    </xf>
    <xf numFmtId="1" fontId="20" fillId="27" borderId="38" xfId="0" applyNumberFormat="1" applyFont="1" applyFill="1" applyBorder="1" applyAlignment="1" applyProtection="1">
      <alignment horizontal="center" vertical="center" textRotation="45"/>
      <protection locked="0"/>
    </xf>
    <xf numFmtId="1" fontId="20" fillId="27" borderId="37" xfId="0" applyNumberFormat="1" applyFont="1" applyFill="1" applyBorder="1" applyAlignment="1" applyProtection="1">
      <alignment horizontal="center" vertical="center" textRotation="45"/>
      <protection locked="0"/>
    </xf>
    <xf numFmtId="9" fontId="25" fillId="27" borderId="34" xfId="0" applyNumberFormat="1" applyFont="1" applyFill="1" applyBorder="1" applyAlignment="1" applyProtection="1">
      <alignment horizontal="center" vertical="center" textRotation="90" wrapText="1"/>
      <protection locked="0"/>
    </xf>
    <xf numFmtId="178" fontId="149" fillId="45" borderId="80" xfId="61" applyFont="1" applyFill="1" applyBorder="1" applyAlignment="1" applyProtection="1">
      <alignment horizontal="center" vertical="center" wrapText="1"/>
      <protection locked="0"/>
    </xf>
    <xf numFmtId="167" fontId="149" fillId="45" borderId="82" xfId="0" applyNumberFormat="1" applyFont="1" applyFill="1" applyBorder="1" applyAlignment="1" applyProtection="1">
      <alignment horizontal="center" vertical="center" wrapText="1"/>
      <protection locked="0"/>
    </xf>
    <xf numFmtId="0" fontId="150" fillId="45" borderId="80" xfId="0" applyFont="1" applyFill="1" applyBorder="1" applyAlignment="1" applyProtection="1">
      <alignment horizontal="center" vertical="center" textRotation="90" wrapText="1"/>
      <protection locked="0"/>
    </xf>
    <xf numFmtId="0" fontId="150" fillId="45" borderId="80" xfId="0" applyFont="1" applyFill="1" applyBorder="1" applyAlignment="1" applyProtection="1">
      <alignment horizontal="center" vertical="center"/>
      <protection locked="0"/>
    </xf>
    <xf numFmtId="167" fontId="149" fillId="50" borderId="78" xfId="0" applyNumberFormat="1" applyFont="1" applyFill="1" applyBorder="1" applyAlignment="1" applyProtection="1">
      <alignment horizontal="center" vertical="center"/>
      <protection locked="0"/>
    </xf>
    <xf numFmtId="167" fontId="149" fillId="0" borderId="84" xfId="0" applyNumberFormat="1" applyFont="1" applyBorder="1" applyAlignment="1" applyProtection="1">
      <alignment horizontal="center" vertical="center"/>
      <protection locked="0"/>
    </xf>
    <xf numFmtId="167" fontId="150" fillId="50" borderId="78" xfId="0" applyNumberFormat="1" applyFont="1" applyFill="1" applyBorder="1" applyAlignment="1" applyProtection="1">
      <alignment horizontal="center" vertical="center"/>
      <protection locked="0"/>
    </xf>
    <xf numFmtId="0" fontId="150" fillId="45" borderId="82" xfId="0" applyFont="1" applyFill="1" applyBorder="1" applyAlignment="1" applyProtection="1">
      <alignment horizontal="center" vertical="center" textRotation="90" wrapText="1"/>
      <protection locked="0"/>
    </xf>
    <xf numFmtId="9" fontId="150" fillId="45" borderId="80" xfId="65" applyNumberFormat="1" applyFont="1" applyFill="1" applyBorder="1" applyAlignment="1" applyProtection="1">
      <alignment horizontal="center" vertical="center" textRotation="90" wrapText="1"/>
      <protection locked="0"/>
    </xf>
    <xf numFmtId="9" fontId="150" fillId="45" borderId="82" xfId="65" applyNumberFormat="1" applyFont="1" applyFill="1" applyBorder="1" applyAlignment="1" applyProtection="1">
      <alignment horizontal="center" vertical="center" textRotation="90" wrapText="1"/>
      <protection locked="0"/>
    </xf>
    <xf numFmtId="2" fontId="149" fillId="45" borderId="80" xfId="0" applyNumberFormat="1" applyFont="1" applyFill="1" applyBorder="1" applyAlignment="1" applyProtection="1">
      <alignment horizontal="center" vertical="center" wrapText="1"/>
      <protection locked="0"/>
    </xf>
    <xf numFmtId="2" fontId="149" fillId="45" borderId="82" xfId="0" applyNumberFormat="1" applyFont="1" applyFill="1" applyBorder="1" applyAlignment="1" applyProtection="1">
      <alignment horizontal="center" vertical="center" wrapText="1"/>
      <protection locked="0"/>
    </xf>
    <xf numFmtId="178" fontId="149" fillId="45" borderId="80" xfId="61" applyFont="1" applyFill="1" applyBorder="1" applyAlignment="1" applyProtection="1">
      <alignment horizontal="center" vertical="center" textRotation="90" wrapText="1"/>
      <protection locked="0"/>
    </xf>
    <xf numFmtId="9" fontId="150" fillId="45" borderId="80" xfId="0" applyNumberFormat="1" applyFont="1" applyFill="1" applyBorder="1" applyAlignment="1" applyProtection="1">
      <alignment horizontal="center" vertical="center" textRotation="90" wrapText="1"/>
      <protection locked="0"/>
    </xf>
    <xf numFmtId="9" fontId="150" fillId="45" borderId="82" xfId="0" applyNumberFormat="1" applyFont="1" applyFill="1" applyBorder="1" applyAlignment="1" applyProtection="1">
      <alignment horizontal="center" vertical="center" textRotation="90" wrapText="1"/>
      <protection locked="0"/>
    </xf>
    <xf numFmtId="9" fontId="150" fillId="27" borderId="80" xfId="0" applyNumberFormat="1" applyFont="1" applyFill="1" applyBorder="1" applyAlignment="1" applyProtection="1">
      <alignment horizontal="center" vertical="center" textRotation="90" wrapText="1"/>
      <protection locked="0"/>
    </xf>
    <xf numFmtId="9" fontId="150" fillId="27" borderId="82" xfId="0" applyNumberFormat="1" applyFont="1" applyFill="1" applyBorder="1" applyAlignment="1" applyProtection="1">
      <alignment horizontal="center" vertical="center" textRotation="90" wrapText="1"/>
      <protection locked="0"/>
    </xf>
    <xf numFmtId="168" fontId="150" fillId="45" borderId="80" xfId="0" applyNumberFormat="1" applyFont="1" applyFill="1" applyBorder="1" applyAlignment="1" applyProtection="1">
      <alignment horizontal="center" vertical="center" textRotation="90" wrapText="1"/>
      <protection locked="0"/>
    </xf>
    <xf numFmtId="178" fontId="69" fillId="34" borderId="15" xfId="61" applyFont="1" applyFill="1" applyBorder="1" applyAlignment="1" applyProtection="1">
      <alignment horizontal="center" vertical="center" wrapText="1"/>
      <protection locked="0" hidden="1"/>
    </xf>
    <xf numFmtId="178" fontId="69" fillId="34" borderId="17" xfId="61" applyFont="1" applyFill="1" applyBorder="1" applyAlignment="1" applyProtection="1">
      <alignment horizontal="center" vertical="center" wrapText="1"/>
      <protection locked="0" hidden="1"/>
    </xf>
    <xf numFmtId="178" fontId="69" fillId="34" borderId="34" xfId="61" applyFont="1" applyFill="1" applyBorder="1" applyAlignment="1" applyProtection="1">
      <alignment horizontal="center" vertical="center" wrapText="1"/>
      <protection locked="0" hidden="1"/>
    </xf>
    <xf numFmtId="178" fontId="23" fillId="0" borderId="60" xfId="61" applyFont="1" applyBorder="1" applyAlignment="1" applyProtection="1">
      <alignment horizontal="center" wrapText="1"/>
      <protection hidden="1"/>
    </xf>
    <xf numFmtId="178" fontId="23" fillId="0" borderId="27" xfId="61" applyFont="1" applyBorder="1" applyAlignment="1" applyProtection="1">
      <alignment horizontal="center" wrapText="1"/>
      <protection hidden="1"/>
    </xf>
    <xf numFmtId="0" fontId="25" fillId="38" borderId="76" xfId="0" applyFont="1" applyFill="1" applyBorder="1" applyAlignment="1" applyProtection="1">
      <alignment horizontal="center" vertical="center" textRotation="90" wrapText="1"/>
      <protection locked="0"/>
    </xf>
    <xf numFmtId="9" fontId="25" fillId="27" borderId="15" xfId="0" applyNumberFormat="1" applyFont="1" applyFill="1" applyBorder="1" applyAlignment="1" applyProtection="1">
      <alignment horizontal="center" vertical="center" textRotation="90" wrapText="1"/>
      <protection locked="0"/>
    </xf>
    <xf numFmtId="0" fontId="25" fillId="38" borderId="33" xfId="0" applyFont="1" applyFill="1" applyBorder="1" applyAlignment="1" applyProtection="1">
      <alignment horizontal="center" vertical="center"/>
      <protection locked="0"/>
    </xf>
    <xf numFmtId="0" fontId="25" fillId="38" borderId="38" xfId="0" applyFont="1" applyFill="1" applyBorder="1" applyAlignment="1" applyProtection="1">
      <alignment horizontal="center" vertical="center"/>
      <protection locked="0"/>
    </xf>
    <xf numFmtId="0" fontId="25" fillId="38" borderId="49" xfId="0" applyFont="1" applyFill="1" applyBorder="1" applyAlignment="1" applyProtection="1">
      <alignment horizontal="center" vertical="center"/>
      <protection locked="0"/>
    </xf>
    <xf numFmtId="0" fontId="25" fillId="38" borderId="37" xfId="0" applyFont="1" applyFill="1" applyBorder="1" applyAlignment="1" applyProtection="1">
      <alignment horizontal="center" vertical="center"/>
      <protection locked="0"/>
    </xf>
    <xf numFmtId="0" fontId="25" fillId="38" borderId="33" xfId="0" applyFont="1" applyFill="1" applyBorder="1" applyAlignment="1" applyProtection="1">
      <alignment horizontal="center" vertical="center" wrapText="1"/>
      <protection locked="0"/>
    </xf>
    <xf numFmtId="0" fontId="25" fillId="38" borderId="38" xfId="0" applyFont="1" applyFill="1" applyBorder="1" applyAlignment="1" applyProtection="1">
      <alignment horizontal="center" vertical="center" wrapText="1"/>
      <protection locked="0"/>
    </xf>
    <xf numFmtId="0" fontId="25" fillId="38" borderId="49" xfId="0" applyFont="1" applyFill="1" applyBorder="1" applyAlignment="1" applyProtection="1">
      <alignment horizontal="center" vertical="center" wrapText="1"/>
      <protection locked="0"/>
    </xf>
    <xf numFmtId="0" fontId="25" fillId="38" borderId="37" xfId="0" applyFont="1" applyFill="1" applyBorder="1" applyAlignment="1" applyProtection="1">
      <alignment horizontal="center" vertical="center" wrapText="1"/>
      <protection locked="0"/>
    </xf>
    <xf numFmtId="0" fontId="25" fillId="38" borderId="21" xfId="0" applyFont="1" applyFill="1" applyBorder="1" applyAlignment="1" applyProtection="1">
      <alignment horizontal="center" vertical="center" wrapText="1"/>
      <protection locked="0"/>
    </xf>
    <xf numFmtId="0" fontId="25" fillId="38" borderId="19" xfId="0" applyFont="1" applyFill="1" applyBorder="1" applyAlignment="1" applyProtection="1">
      <alignment horizontal="center" vertical="center" wrapText="1"/>
      <protection locked="0"/>
    </xf>
    <xf numFmtId="0" fontId="30" fillId="38" borderId="21" xfId="0" applyFont="1" applyFill="1" applyBorder="1" applyAlignment="1" applyProtection="1">
      <alignment horizontal="center" vertical="center" wrapText="1"/>
      <protection locked="0"/>
    </xf>
    <xf numFmtId="0" fontId="30" fillId="38" borderId="19" xfId="0" applyFont="1" applyFill="1" applyBorder="1" applyAlignment="1" applyProtection="1">
      <alignment horizontal="center" vertical="center" wrapText="1"/>
      <protection locked="0"/>
    </xf>
    <xf numFmtId="0" fontId="25" fillId="38" borderId="48" xfId="0" applyFont="1" applyFill="1" applyBorder="1" applyAlignment="1" applyProtection="1">
      <alignment horizontal="center" vertical="center"/>
      <protection locked="0"/>
    </xf>
    <xf numFmtId="0" fontId="25" fillId="38" borderId="29" xfId="0" applyFont="1" applyFill="1" applyBorder="1" applyAlignment="1" applyProtection="1">
      <alignment horizontal="center" vertical="center"/>
      <protection locked="0"/>
    </xf>
    <xf numFmtId="0" fontId="25" fillId="38" borderId="48" xfId="0" applyFont="1" applyFill="1" applyBorder="1" applyAlignment="1" applyProtection="1">
      <alignment horizontal="center" vertical="center" wrapText="1"/>
      <protection locked="0"/>
    </xf>
    <xf numFmtId="0" fontId="25" fillId="38" borderId="38" xfId="0" applyFont="1" applyFill="1" applyBorder="1" applyAlignment="1" applyProtection="1">
      <alignment horizontal="center" vertical="center" textRotation="90" wrapText="1"/>
      <protection locked="0"/>
    </xf>
    <xf numFmtId="0" fontId="25" fillId="38" borderId="37" xfId="0" applyFont="1" applyFill="1" applyBorder="1" applyAlignment="1" applyProtection="1">
      <alignment horizontal="center" vertical="center" textRotation="90" wrapText="1"/>
      <protection locked="0"/>
    </xf>
    <xf numFmtId="9" fontId="25" fillId="38" borderId="48" xfId="0" applyNumberFormat="1" applyFont="1" applyFill="1" applyBorder="1" applyAlignment="1" applyProtection="1">
      <alignment horizontal="center" vertical="center" textRotation="90" wrapText="1"/>
      <protection locked="0"/>
    </xf>
    <xf numFmtId="9" fontId="25" fillId="38" borderId="49" xfId="0" applyNumberFormat="1" applyFont="1" applyFill="1" applyBorder="1" applyAlignment="1" applyProtection="1">
      <alignment horizontal="center" vertical="center" textRotation="90" wrapText="1"/>
      <protection locked="0"/>
    </xf>
    <xf numFmtId="0" fontId="30" fillId="0" borderId="21" xfId="0" applyFont="1" applyBorder="1" applyAlignment="1" applyProtection="1">
      <alignment horizontal="center" vertical="center" wrapText="1"/>
      <protection locked="0" hidden="1"/>
    </xf>
    <xf numFmtId="0" fontId="30" fillId="0" borderId="47" xfId="0" applyFont="1" applyBorder="1" applyAlignment="1" applyProtection="1">
      <alignment horizontal="center" vertical="center" wrapText="1"/>
      <protection locked="0" hidden="1"/>
    </xf>
    <xf numFmtId="0" fontId="30" fillId="0" borderId="19" xfId="0" applyFont="1" applyBorder="1" applyAlignment="1" applyProtection="1">
      <alignment horizontal="center" vertical="center" wrapText="1"/>
      <protection locked="0" hidden="1"/>
    </xf>
    <xf numFmtId="0" fontId="25" fillId="0" borderId="21" xfId="0" applyFont="1" applyBorder="1" applyAlignment="1" applyProtection="1">
      <alignment horizontal="center" vertical="center" textRotation="90" wrapText="1"/>
      <protection locked="0" hidden="1"/>
    </xf>
    <xf numFmtId="0" fontId="25" fillId="0" borderId="47" xfId="0" applyFont="1" applyBorder="1" applyAlignment="1" applyProtection="1">
      <alignment horizontal="center" vertical="center" textRotation="90" wrapText="1"/>
      <protection locked="0" hidden="1"/>
    </xf>
    <xf numFmtId="0" fontId="25" fillId="0" borderId="19" xfId="0" applyFont="1" applyBorder="1" applyAlignment="1" applyProtection="1">
      <alignment horizontal="center" vertical="center" textRotation="90" wrapText="1"/>
      <protection locked="0" hidden="1"/>
    </xf>
    <xf numFmtId="0" fontId="25" fillId="0" borderId="21" xfId="0" applyFont="1" applyBorder="1" applyAlignment="1" applyProtection="1">
      <alignment horizontal="center" vertical="center"/>
      <protection locked="0" hidden="1"/>
    </xf>
    <xf numFmtId="0" fontId="25" fillId="0" borderId="19" xfId="0" applyFont="1" applyBorder="1" applyAlignment="1" applyProtection="1">
      <alignment horizontal="center" vertical="center"/>
      <protection locked="0" hidden="1"/>
    </xf>
    <xf numFmtId="0" fontId="25" fillId="0" borderId="21" xfId="0" applyFont="1" applyBorder="1" applyAlignment="1" applyProtection="1">
      <alignment horizontal="center" vertical="center" wrapText="1"/>
      <protection locked="0" hidden="1"/>
    </xf>
    <xf numFmtId="0" fontId="25" fillId="0" borderId="15" xfId="0" applyFont="1" applyBorder="1" applyAlignment="1" applyProtection="1">
      <alignment horizontal="center" vertical="center"/>
      <protection locked="0" hidden="1"/>
    </xf>
    <xf numFmtId="0" fontId="64" fillId="0" borderId="21" xfId="0" applyFont="1" applyBorder="1" applyAlignment="1" applyProtection="1">
      <alignment horizontal="center" vertical="center" wrapText="1"/>
      <protection locked="0" hidden="1"/>
    </xf>
    <xf numFmtId="0" fontId="64" fillId="0" borderId="19" xfId="0" applyFont="1" applyBorder="1" applyAlignment="1" applyProtection="1">
      <alignment horizontal="center" vertical="center" wrapText="1"/>
      <protection locked="0" hidden="1"/>
    </xf>
    <xf numFmtId="0" fontId="25" fillId="0" borderId="15" xfId="0" applyFont="1" applyBorder="1" applyAlignment="1" applyProtection="1">
      <alignment horizontal="center" vertical="center" wrapText="1"/>
      <protection locked="0" hidden="1"/>
    </xf>
    <xf numFmtId="168" fontId="25" fillId="0" borderId="21" xfId="47" applyNumberFormat="1" applyFont="1" applyBorder="1" applyAlignment="1" applyProtection="1">
      <alignment horizontal="center" vertical="center" textRotation="90" wrapText="1"/>
      <protection locked="0" hidden="1"/>
    </xf>
    <xf numFmtId="168" fontId="25" fillId="0" borderId="47" xfId="47" applyNumberFormat="1" applyFont="1" applyBorder="1" applyAlignment="1" applyProtection="1">
      <alignment horizontal="center" vertical="center" textRotation="90" wrapText="1"/>
      <protection locked="0" hidden="1"/>
    </xf>
    <xf numFmtId="9" fontId="25" fillId="0" borderId="21" xfId="47" applyNumberFormat="1" applyFont="1" applyBorder="1" applyAlignment="1" applyProtection="1">
      <alignment horizontal="center" vertical="center" textRotation="90" wrapText="1"/>
      <protection locked="0" hidden="1"/>
    </xf>
    <xf numFmtId="0" fontId="18" fillId="0" borderId="19" xfId="0" applyFont="1" applyBorder="1" applyProtection="1">
      <protection locked="0" hidden="1"/>
    </xf>
    <xf numFmtId="0" fontId="18" fillId="0" borderId="15" xfId="0" applyFont="1" applyBorder="1" applyAlignment="1" applyProtection="1">
      <alignment horizontal="center"/>
      <protection locked="0" hidden="1"/>
    </xf>
    <xf numFmtId="0" fontId="18" fillId="0" borderId="21" xfId="0" applyFont="1" applyBorder="1" applyAlignment="1" applyProtection="1">
      <alignment horizontal="center" wrapText="1"/>
      <protection locked="0" hidden="1"/>
    </xf>
    <xf numFmtId="0" fontId="25" fillId="0" borderId="33" xfId="47" applyFont="1" applyBorder="1" applyAlignment="1" applyProtection="1">
      <alignment horizontal="center" vertical="center" wrapText="1" readingOrder="1"/>
      <protection locked="0" hidden="1"/>
    </xf>
    <xf numFmtId="0" fontId="25" fillId="0" borderId="49" xfId="47" applyFont="1" applyBorder="1" applyAlignment="1" applyProtection="1">
      <alignment horizontal="center" vertical="center" wrapText="1" readingOrder="1"/>
      <protection locked="0" hidden="1"/>
    </xf>
    <xf numFmtId="0" fontId="65" fillId="0" borderId="38" xfId="0" applyFont="1" applyBorder="1" applyAlignment="1" applyProtection="1">
      <alignment horizontal="center" vertical="center" wrapText="1"/>
      <protection locked="0" hidden="1"/>
    </xf>
    <xf numFmtId="0" fontId="65" fillId="0" borderId="37" xfId="0" applyFont="1" applyBorder="1" applyAlignment="1" applyProtection="1">
      <alignment horizontal="center" vertical="center" wrapText="1"/>
      <protection locked="0" hidden="1"/>
    </xf>
    <xf numFmtId="178" fontId="69" fillId="34" borderId="51" xfId="61" applyFont="1" applyFill="1" applyBorder="1" applyAlignment="1" applyProtection="1">
      <alignment horizontal="center" vertical="center" wrapText="1"/>
      <protection locked="0" hidden="1"/>
    </xf>
    <xf numFmtId="0" fontId="56" fillId="0" borderId="0" xfId="0" applyFont="1" applyAlignment="1" applyProtection="1">
      <alignment horizontal="center" vertical="center"/>
      <protection locked="0" hidden="1"/>
    </xf>
    <xf numFmtId="0" fontId="25" fillId="0" borderId="33" xfId="47" applyFont="1" applyBorder="1" applyAlignment="1" applyProtection="1">
      <alignment horizontal="center" vertical="center" wrapText="1"/>
      <protection locked="0" hidden="1"/>
    </xf>
    <xf numFmtId="0" fontId="25" fillId="0" borderId="49" xfId="47" applyFont="1" applyBorder="1" applyAlignment="1" applyProtection="1">
      <alignment horizontal="center" vertical="center" wrapText="1"/>
      <protection locked="0" hidden="1"/>
    </xf>
    <xf numFmtId="0" fontId="25" fillId="0" borderId="55" xfId="0" applyFont="1" applyBorder="1" applyAlignment="1" applyProtection="1">
      <alignment horizontal="center" vertical="center"/>
      <protection locked="0" hidden="1"/>
    </xf>
    <xf numFmtId="0" fontId="25" fillId="0" borderId="56" xfId="0" applyFont="1" applyBorder="1" applyAlignment="1" applyProtection="1">
      <alignment horizontal="center" vertical="center"/>
      <protection locked="0" hidden="1"/>
    </xf>
    <xf numFmtId="168" fontId="25" fillId="38" borderId="15" xfId="0" applyNumberFormat="1" applyFont="1" applyFill="1" applyBorder="1" applyAlignment="1" applyProtection="1">
      <alignment horizontal="right" vertical="center" textRotation="90" wrapText="1"/>
      <protection locked="0"/>
    </xf>
    <xf numFmtId="49" fontId="190" fillId="0" borderId="0" xfId="80" applyNumberFormat="1" applyFont="1" applyAlignment="1" applyProtection="1">
      <alignment horizontal="left" vertical="center" wrapText="1"/>
      <protection hidden="1"/>
    </xf>
    <xf numFmtId="0" fontId="190" fillId="0" borderId="0" xfId="80" applyFont="1" applyAlignment="1" applyProtection="1">
      <alignment horizontal="left" vertical="center" wrapText="1"/>
      <protection hidden="1"/>
    </xf>
    <xf numFmtId="0" fontId="178" fillId="0" borderId="0" xfId="80" applyFont="1" applyAlignment="1" applyProtection="1">
      <alignment horizontal="left" vertical="center" wrapText="1"/>
      <protection hidden="1"/>
    </xf>
    <xf numFmtId="0" fontId="89" fillId="0" borderId="0" xfId="80" applyFont="1" applyAlignment="1" applyProtection="1">
      <alignment horizontal="center"/>
      <protection locked="0"/>
    </xf>
    <xf numFmtId="188" fontId="149" fillId="0" borderId="79" xfId="80" applyNumberFormat="1" applyFont="1" applyBorder="1" applyAlignment="1" applyProtection="1">
      <alignment horizontal="center" vertical="center"/>
      <protection locked="0"/>
    </xf>
    <xf numFmtId="188" fontId="149" fillId="0" borderId="81" xfId="80" applyNumberFormat="1" applyFont="1" applyBorder="1" applyAlignment="1" applyProtection="1">
      <alignment horizontal="center" vertical="center"/>
      <protection locked="0"/>
    </xf>
    <xf numFmtId="167" fontId="149" fillId="0" borderId="80" xfId="80" applyNumberFormat="1" applyFont="1" applyBorder="1" applyAlignment="1" applyProtection="1">
      <alignment horizontal="left" vertical="center"/>
      <protection locked="0"/>
    </xf>
    <xf numFmtId="167" fontId="149" fillId="0" borderId="81" xfId="80" applyNumberFormat="1" applyFont="1" applyBorder="1" applyAlignment="1">
      <alignment horizontal="center" vertical="center"/>
    </xf>
    <xf numFmtId="167" fontId="149" fillId="0" borderId="92" xfId="80" applyNumberFormat="1" applyFont="1" applyBorder="1" applyAlignment="1">
      <alignment horizontal="center" vertical="center"/>
    </xf>
    <xf numFmtId="167" fontId="149" fillId="0" borderId="93" xfId="80" applyNumberFormat="1" applyFont="1" applyBorder="1" applyAlignment="1">
      <alignment horizontal="center" vertical="center"/>
    </xf>
    <xf numFmtId="167" fontId="149" fillId="0" borderId="94" xfId="80" applyNumberFormat="1" applyFont="1" applyBorder="1" applyAlignment="1">
      <alignment horizontal="center" vertical="center"/>
    </xf>
    <xf numFmtId="167" fontId="148" fillId="50" borderId="79" xfId="80" applyNumberFormat="1" applyFont="1" applyFill="1" applyBorder="1" applyAlignment="1" applyProtection="1">
      <alignment horizontal="center" vertical="center"/>
      <protection locked="0"/>
    </xf>
    <xf numFmtId="0" fontId="155" fillId="0" borderId="79" xfId="80" applyFont="1" applyBorder="1" applyAlignment="1" applyProtection="1">
      <alignment horizontal="center" vertical="center" wrapText="1"/>
      <protection locked="0"/>
    </xf>
    <xf numFmtId="0" fontId="155" fillId="0" borderId="80" xfId="80" applyFont="1" applyBorder="1" applyAlignment="1" applyProtection="1">
      <alignment horizontal="center" vertical="center" wrapText="1"/>
      <protection locked="0"/>
    </xf>
    <xf numFmtId="0" fontId="155" fillId="0" borderId="81" xfId="80" applyFont="1" applyBorder="1" applyAlignment="1" applyProtection="1">
      <alignment horizontal="center" vertical="center" wrapText="1"/>
      <protection locked="0"/>
    </xf>
    <xf numFmtId="212" fontId="149" fillId="0" borderId="95" xfId="80" applyNumberFormat="1" applyFont="1" applyBorder="1" applyAlignment="1" applyProtection="1">
      <alignment horizontal="center" vertical="center"/>
      <protection locked="0"/>
    </xf>
    <xf numFmtId="212" fontId="149" fillId="0" borderId="84" xfId="80" applyNumberFormat="1" applyFont="1" applyBorder="1" applyAlignment="1" applyProtection="1">
      <alignment horizontal="center" vertical="center"/>
      <protection locked="0"/>
    </xf>
    <xf numFmtId="212" fontId="149" fillId="0" borderId="85" xfId="80" applyNumberFormat="1" applyFont="1" applyBorder="1" applyAlignment="1" applyProtection="1">
      <alignment horizontal="center" vertical="center"/>
      <protection locked="0"/>
    </xf>
    <xf numFmtId="10" fontId="149" fillId="0" borderId="81" xfId="80" applyNumberFormat="1" applyFont="1" applyBorder="1" applyAlignment="1">
      <alignment horizontal="center" vertical="center"/>
    </xf>
    <xf numFmtId="192" fontId="149" fillId="0" borderId="80" xfId="80" applyNumberFormat="1" applyFont="1" applyBorder="1" applyAlignment="1">
      <alignment horizontal="center" vertical="center"/>
    </xf>
    <xf numFmtId="167" fontId="149" fillId="0" borderId="81" xfId="80" applyNumberFormat="1" applyFont="1" applyBorder="1" applyAlignment="1" applyProtection="1">
      <alignment horizontal="left" vertical="center"/>
      <protection locked="0"/>
    </xf>
    <xf numFmtId="197" fontId="149" fillId="0" borderId="79" xfId="80" applyNumberFormat="1" applyFont="1" applyBorder="1" applyAlignment="1">
      <alignment horizontal="center" vertical="center"/>
    </xf>
    <xf numFmtId="167" fontId="149" fillId="0" borderId="79" xfId="80" applyNumberFormat="1" applyFont="1" applyBorder="1" applyAlignment="1" applyProtection="1">
      <alignment horizontal="left" vertical="center"/>
      <protection locked="0"/>
    </xf>
    <xf numFmtId="0" fontId="25" fillId="0" borderId="15" xfId="0" applyFont="1" applyBorder="1" applyAlignment="1" applyProtection="1">
      <alignment horizontal="center" vertical="center" textRotation="90" wrapText="1"/>
      <protection locked="0"/>
    </xf>
    <xf numFmtId="0" fontId="25" fillId="0" borderId="15" xfId="0" applyFont="1" applyBorder="1" applyAlignment="1" applyProtection="1">
      <alignment horizontal="center" vertical="center" wrapText="1"/>
      <protection locked="0"/>
    </xf>
    <xf numFmtId="0" fontId="105" fillId="0" borderId="0" xfId="80" applyFont="1" applyAlignment="1" applyProtection="1">
      <alignment horizontal="center" vertical="center" textRotation="90" wrapText="1"/>
      <protection locked="0"/>
    </xf>
    <xf numFmtId="167" fontId="149" fillId="45" borderId="80" xfId="80" applyNumberFormat="1" applyFont="1" applyFill="1" applyBorder="1" applyAlignment="1" applyProtection="1">
      <alignment horizontal="center" vertical="center" textRotation="90"/>
      <protection locked="0"/>
    </xf>
    <xf numFmtId="167" fontId="149" fillId="45" borderId="80" xfId="80" applyNumberFormat="1" applyFont="1" applyFill="1" applyBorder="1" applyAlignment="1" applyProtection="1">
      <alignment horizontal="center" vertical="center" textRotation="90" wrapText="1"/>
      <protection locked="0"/>
    </xf>
    <xf numFmtId="167" fontId="149" fillId="45" borderId="80" xfId="80" applyNumberFormat="1" applyFont="1" applyFill="1" applyBorder="1" applyAlignment="1" applyProtection="1">
      <alignment horizontal="center" vertical="center" wrapText="1"/>
      <protection locked="0"/>
    </xf>
    <xf numFmtId="9" fontId="150" fillId="45" borderId="80" xfId="80" applyNumberFormat="1" applyFont="1" applyFill="1" applyBorder="1" applyAlignment="1" applyProtection="1">
      <alignment horizontal="center" vertical="center" textRotation="90" wrapText="1"/>
      <protection locked="0"/>
    </xf>
    <xf numFmtId="0" fontId="155" fillId="50" borderId="78" xfId="80" applyFont="1" applyFill="1" applyBorder="1" applyAlignment="1" applyProtection="1">
      <alignment horizontal="center" vertical="center" wrapText="1"/>
      <protection locked="0"/>
    </xf>
    <xf numFmtId="0" fontId="155" fillId="50" borderId="86" xfId="80" applyFont="1" applyFill="1" applyBorder="1" applyAlignment="1" applyProtection="1">
      <alignment horizontal="center" vertical="center" wrapText="1"/>
      <protection locked="0"/>
    </xf>
    <xf numFmtId="0" fontId="155" fillId="50" borderId="87" xfId="80" applyFont="1" applyFill="1" applyBorder="1" applyAlignment="1" applyProtection="1">
      <alignment horizontal="center" vertical="center" wrapText="1"/>
      <protection locked="0"/>
    </xf>
    <xf numFmtId="0" fontId="155" fillId="50" borderId="88" xfId="80" applyFont="1" applyFill="1" applyBorder="1" applyAlignment="1" applyProtection="1">
      <alignment horizontal="center" vertical="center" wrapText="1"/>
      <protection locked="0"/>
    </xf>
    <xf numFmtId="0" fontId="25" fillId="0" borderId="15" xfId="63" applyFont="1" applyBorder="1" applyAlignment="1" applyProtection="1">
      <alignment horizontal="center" vertical="center" textRotation="90"/>
      <protection locked="0"/>
    </xf>
    <xf numFmtId="167" fontId="149" fillId="45" borderId="80" xfId="65" applyNumberFormat="1" applyFont="1" applyFill="1" applyBorder="1" applyAlignment="1" applyProtection="1">
      <alignment horizontal="center" vertical="center" wrapText="1"/>
      <protection locked="0"/>
    </xf>
    <xf numFmtId="0" fontId="25" fillId="0" borderId="21" xfId="0" applyFont="1" applyBorder="1" applyAlignment="1" applyProtection="1">
      <alignment horizontal="center" vertical="center" textRotation="90" wrapText="1"/>
      <protection locked="0"/>
    </xf>
    <xf numFmtId="0" fontId="25" fillId="0" borderId="47" xfId="0" applyFont="1" applyBorder="1" applyAlignment="1" applyProtection="1">
      <alignment horizontal="center" vertical="center" textRotation="90" wrapText="1"/>
      <protection locked="0"/>
    </xf>
    <xf numFmtId="0" fontId="25" fillId="0" borderId="19" xfId="0" applyFont="1" applyBorder="1" applyAlignment="1" applyProtection="1">
      <alignment horizontal="center" vertical="center" textRotation="90" wrapText="1"/>
      <protection locked="0"/>
    </xf>
    <xf numFmtId="9" fontId="25" fillId="0" borderId="38" xfId="0" applyNumberFormat="1" applyFont="1" applyBorder="1" applyAlignment="1" applyProtection="1">
      <alignment horizontal="center" vertical="center" textRotation="90" wrapText="1"/>
      <protection locked="0"/>
    </xf>
    <xf numFmtId="9" fontId="25" fillId="0" borderId="29" xfId="0" applyNumberFormat="1" applyFont="1" applyBorder="1" applyAlignment="1" applyProtection="1">
      <alignment horizontal="center" vertical="center" textRotation="90" wrapText="1"/>
      <protection locked="0"/>
    </xf>
    <xf numFmtId="9" fontId="25" fillId="0" borderId="37" xfId="0" applyNumberFormat="1" applyFont="1" applyBorder="1" applyAlignment="1" applyProtection="1">
      <alignment horizontal="center" vertical="center" textRotation="90" wrapText="1"/>
      <protection locked="0"/>
    </xf>
    <xf numFmtId="167" fontId="149" fillId="0" borderId="79" xfId="80" applyNumberFormat="1" applyFont="1" applyBorder="1" applyAlignment="1" applyProtection="1">
      <alignment horizontal="center" vertical="center"/>
      <protection locked="0"/>
    </xf>
    <xf numFmtId="167" fontId="149" fillId="0" borderId="89" xfId="80" applyNumberFormat="1" applyFont="1" applyBorder="1" applyAlignment="1" applyProtection="1">
      <alignment horizontal="center" vertical="center"/>
      <protection locked="0"/>
    </xf>
    <xf numFmtId="167" fontId="149" fillId="0" borderId="90" xfId="80" applyNumberFormat="1" applyFont="1" applyBorder="1" applyAlignment="1" applyProtection="1">
      <alignment horizontal="center" vertical="center"/>
      <protection locked="0"/>
    </xf>
    <xf numFmtId="167" fontId="149" fillId="0" borderId="91" xfId="80" applyNumberFormat="1" applyFont="1" applyBorder="1" applyAlignment="1" applyProtection="1">
      <alignment horizontal="center" vertical="center"/>
      <protection locked="0"/>
    </xf>
    <xf numFmtId="0" fontId="155" fillId="50" borderId="78" xfId="80" applyFont="1" applyFill="1" applyBorder="1" applyAlignment="1">
      <alignment horizontal="center" vertical="center" wrapText="1"/>
    </xf>
    <xf numFmtId="167" fontId="149" fillId="50" borderId="81" xfId="65" applyNumberFormat="1" applyFont="1" applyFill="1" applyBorder="1" applyAlignment="1" applyProtection="1">
      <alignment horizontal="center" vertical="center"/>
      <protection locked="0"/>
    </xf>
    <xf numFmtId="0" fontId="150" fillId="45" borderId="15" xfId="63" applyFont="1" applyFill="1" applyBorder="1" applyAlignment="1" applyProtection="1">
      <alignment horizontal="center" vertical="center" textRotation="90" wrapText="1"/>
      <protection locked="0"/>
    </xf>
    <xf numFmtId="0" fontId="154" fillId="0" borderId="83" xfId="65" applyFont="1" applyBorder="1" applyAlignment="1">
      <alignment horizontal="center" vertical="center" wrapText="1" shrinkToFit="1"/>
    </xf>
    <xf numFmtId="2" fontId="154" fillId="0" borderId="83" xfId="65" quotePrefix="1" applyNumberFormat="1" applyFont="1" applyBorder="1" applyAlignment="1">
      <alignment horizontal="center" vertical="center" wrapText="1" shrinkToFit="1"/>
    </xf>
    <xf numFmtId="167" fontId="149" fillId="50" borderId="84" xfId="0" applyNumberFormat="1" applyFont="1" applyFill="1" applyBorder="1" applyAlignment="1" applyProtection="1">
      <alignment horizontal="center" vertical="center"/>
      <protection locked="0"/>
    </xf>
    <xf numFmtId="2" fontId="154" fillId="0" borderId="83" xfId="63" applyNumberFormat="1" applyFont="1" applyBorder="1" applyAlignment="1">
      <alignment horizontal="center" vertical="center" wrapText="1"/>
    </xf>
    <xf numFmtId="167" fontId="149" fillId="50" borderId="78" xfId="0" applyNumberFormat="1" applyFont="1" applyFill="1" applyBorder="1" applyAlignment="1">
      <alignment horizontal="center" vertical="center" wrapText="1"/>
    </xf>
    <xf numFmtId="0" fontId="150" fillId="45" borderId="80" xfId="63" applyFont="1" applyFill="1" applyBorder="1" applyAlignment="1" applyProtection="1">
      <alignment horizontal="center" vertical="center" textRotation="90" wrapText="1"/>
      <protection locked="0"/>
    </xf>
    <xf numFmtId="0" fontId="150" fillId="45" borderId="82" xfId="63" applyFont="1" applyFill="1" applyBorder="1" applyAlignment="1" applyProtection="1">
      <alignment horizontal="center" vertical="center" textRotation="90" wrapText="1"/>
      <protection locked="0"/>
    </xf>
    <xf numFmtId="0" fontId="159" fillId="0" borderId="15" xfId="0" applyFont="1" applyBorder="1" applyAlignment="1" applyProtection="1">
      <alignment horizontal="center" vertical="center" textRotation="90" wrapText="1"/>
      <protection locked="0"/>
    </xf>
    <xf numFmtId="0" fontId="150" fillId="45" borderId="82" xfId="63" applyFont="1" applyFill="1" applyBorder="1" applyAlignment="1" applyProtection="1">
      <alignment horizontal="center" vertical="center" wrapText="1"/>
      <protection locked="0"/>
    </xf>
    <xf numFmtId="0" fontId="150" fillId="45" borderId="80" xfId="63" applyFont="1" applyFill="1" applyBorder="1" applyAlignment="1" applyProtection="1">
      <alignment horizontal="center" vertical="center" wrapText="1"/>
      <protection locked="0"/>
    </xf>
    <xf numFmtId="0" fontId="159" fillId="39" borderId="21" xfId="63" applyFont="1" applyFill="1" applyBorder="1" applyAlignment="1" applyProtection="1">
      <alignment horizontal="center" vertical="center" textRotation="90" wrapText="1"/>
      <protection locked="0"/>
    </xf>
    <xf numFmtId="0" fontId="159" fillId="39" borderId="47" xfId="63" applyFont="1" applyFill="1" applyBorder="1" applyAlignment="1" applyProtection="1">
      <alignment horizontal="center" vertical="center" textRotation="90" wrapText="1"/>
      <protection locked="0"/>
    </xf>
    <xf numFmtId="0" fontId="159" fillId="39" borderId="19" xfId="63" applyFont="1" applyFill="1" applyBorder="1" applyAlignment="1" applyProtection="1">
      <alignment horizontal="center" vertical="center" textRotation="90" wrapText="1"/>
      <protection locked="0"/>
    </xf>
    <xf numFmtId="49" fontId="191" fillId="0" borderId="0" xfId="63" applyNumberFormat="1" applyFont="1" applyAlignment="1">
      <alignment horizontal="left" vertical="center" wrapText="1"/>
    </xf>
    <xf numFmtId="0" fontId="191" fillId="0" borderId="0" xfId="63" applyFont="1" applyAlignment="1">
      <alignment horizontal="left" vertical="center" wrapText="1"/>
    </xf>
    <xf numFmtId="0" fontId="162" fillId="0" borderId="0" xfId="63" applyFont="1" applyAlignment="1">
      <alignment vertical="center" wrapText="1"/>
    </xf>
    <xf numFmtId="0" fontId="162" fillId="0" borderId="0" xfId="63" applyFont="1" applyAlignment="1">
      <alignment horizontal="left" vertical="center" wrapText="1"/>
    </xf>
    <xf numFmtId="0" fontId="175" fillId="0" borderId="0" xfId="0" applyFont="1" applyAlignment="1" applyProtection="1">
      <alignment horizontal="center" vertical="center" textRotation="90"/>
      <protection locked="0"/>
    </xf>
    <xf numFmtId="167" fontId="148" fillId="50" borderId="79" xfId="0" applyNumberFormat="1" applyFont="1" applyFill="1" applyBorder="1" applyAlignment="1" applyProtection="1">
      <alignment horizontal="center" vertical="center"/>
      <protection locked="0"/>
    </xf>
    <xf numFmtId="0" fontId="150" fillId="45" borderId="80" xfId="63" applyFont="1" applyFill="1" applyBorder="1" applyAlignment="1" applyProtection="1">
      <alignment horizontal="center" vertical="center"/>
      <protection locked="0"/>
    </xf>
    <xf numFmtId="178" fontId="69" fillId="34" borderId="34" xfId="61" applyFont="1" applyFill="1" applyBorder="1" applyAlignment="1">
      <alignment horizontal="center" vertical="center" wrapText="1"/>
    </xf>
    <xf numFmtId="178" fontId="69" fillId="34" borderId="15" xfId="61" applyFont="1" applyFill="1" applyBorder="1" applyAlignment="1">
      <alignment horizontal="center" vertical="center" wrapText="1"/>
    </xf>
    <xf numFmtId="167" fontId="174" fillId="50" borderId="79" xfId="0" applyNumberFormat="1" applyFont="1" applyFill="1" applyBorder="1" applyAlignment="1" applyProtection="1">
      <alignment horizontal="center" vertical="center"/>
      <protection locked="0"/>
    </xf>
    <xf numFmtId="178" fontId="69" fillId="34" borderId="17" xfId="61" applyFont="1" applyFill="1" applyBorder="1" applyAlignment="1">
      <alignment horizontal="center" vertical="center" wrapText="1"/>
    </xf>
    <xf numFmtId="0" fontId="159" fillId="39" borderId="38" xfId="63" applyFont="1" applyFill="1" applyBorder="1" applyAlignment="1" applyProtection="1">
      <alignment horizontal="center" vertical="center" textRotation="90" wrapText="1"/>
      <protection locked="0"/>
    </xf>
    <xf numFmtId="0" fontId="159" fillId="39" borderId="29" xfId="63" applyFont="1" applyFill="1" applyBorder="1" applyAlignment="1" applyProtection="1">
      <alignment horizontal="center" vertical="center" textRotation="90" wrapText="1"/>
      <protection locked="0"/>
    </xf>
    <xf numFmtId="0" fontId="159" fillId="39" borderId="37" xfId="63" applyFont="1" applyFill="1" applyBorder="1" applyAlignment="1" applyProtection="1">
      <alignment horizontal="center" vertical="center" textRotation="90" wrapText="1"/>
      <protection locked="0"/>
    </xf>
    <xf numFmtId="167" fontId="149" fillId="50" borderId="78" xfId="0" applyNumberFormat="1" applyFont="1" applyFill="1" applyBorder="1" applyAlignment="1">
      <alignment horizontal="center" vertical="center"/>
    </xf>
    <xf numFmtId="2" fontId="154" fillId="0" borderId="96" xfId="63" applyNumberFormat="1" applyFont="1" applyBorder="1" applyAlignment="1">
      <alignment horizontal="center" vertical="center" wrapText="1"/>
    </xf>
    <xf numFmtId="2" fontId="154" fillId="0" borderId="97" xfId="63" applyNumberFormat="1" applyFont="1" applyBorder="1" applyAlignment="1">
      <alignment horizontal="center" vertical="center" wrapText="1"/>
    </xf>
    <xf numFmtId="2" fontId="154" fillId="0" borderId="98" xfId="63" applyNumberFormat="1" applyFont="1" applyBorder="1" applyAlignment="1">
      <alignment horizontal="center" vertical="center" wrapText="1"/>
    </xf>
    <xf numFmtId="2" fontId="154" fillId="0" borderId="96" xfId="65" quotePrefix="1" applyNumberFormat="1" applyFont="1" applyBorder="1" applyAlignment="1">
      <alignment horizontal="center" vertical="center" wrapText="1" shrinkToFit="1"/>
    </xf>
    <xf numFmtId="2" fontId="154" fillId="0" borderId="97" xfId="65" quotePrefix="1" applyNumberFormat="1" applyFont="1" applyBorder="1" applyAlignment="1">
      <alignment horizontal="center" vertical="center" wrapText="1" shrinkToFit="1"/>
    </xf>
    <xf numFmtId="2" fontId="154" fillId="0" borderId="98" xfId="65" quotePrefix="1" applyNumberFormat="1" applyFont="1" applyBorder="1" applyAlignment="1">
      <alignment horizontal="center" vertical="center" wrapText="1" shrinkToFit="1"/>
    </xf>
    <xf numFmtId="0" fontId="154" fillId="0" borderId="83" xfId="0" applyFont="1" applyBorder="1" applyAlignment="1">
      <alignment horizontal="center" vertical="center" wrapText="1"/>
    </xf>
    <xf numFmtId="0" fontId="154" fillId="0" borderId="96" xfId="65" applyFont="1" applyBorder="1" applyAlignment="1">
      <alignment horizontal="center" vertical="center" wrapText="1" shrinkToFit="1"/>
    </xf>
    <xf numFmtId="0" fontId="154" fillId="0" borderId="97" xfId="65" applyFont="1" applyBorder="1" applyAlignment="1">
      <alignment horizontal="center" vertical="center" wrapText="1" shrinkToFit="1"/>
    </xf>
    <xf numFmtId="0" fontId="154" fillId="0" borderId="98" xfId="65" applyFont="1" applyBorder="1" applyAlignment="1">
      <alignment horizontal="center" vertical="center" wrapText="1" shrinkToFit="1"/>
    </xf>
    <xf numFmtId="2" fontId="154" fillId="0" borderId="102" xfId="63" applyNumberFormat="1" applyFont="1" applyBorder="1" applyAlignment="1">
      <alignment horizontal="center" vertical="center" wrapText="1"/>
    </xf>
    <xf numFmtId="2" fontId="154" fillId="0" borderId="103" xfId="63" applyNumberFormat="1" applyFont="1" applyBorder="1" applyAlignment="1">
      <alignment horizontal="center" vertical="center" wrapText="1"/>
    </xf>
    <xf numFmtId="2" fontId="154" fillId="0" borderId="104" xfId="63" applyNumberFormat="1" applyFont="1" applyBorder="1" applyAlignment="1">
      <alignment horizontal="center" vertical="center" wrapText="1"/>
    </xf>
    <xf numFmtId="2" fontId="154" fillId="0" borderId="102" xfId="65" quotePrefix="1" applyNumberFormat="1" applyFont="1" applyBorder="1" applyAlignment="1">
      <alignment horizontal="center" vertical="center" wrapText="1" shrinkToFit="1"/>
    </xf>
    <xf numFmtId="2" fontId="154" fillId="0" borderId="103" xfId="65" quotePrefix="1" applyNumberFormat="1" applyFont="1" applyBorder="1" applyAlignment="1">
      <alignment horizontal="center" vertical="center" wrapText="1" shrinkToFit="1"/>
    </xf>
    <xf numFmtId="2" fontId="154" fillId="0" borderId="104" xfId="65" quotePrefix="1" applyNumberFormat="1" applyFont="1" applyBorder="1" applyAlignment="1">
      <alignment horizontal="center" vertical="center" wrapText="1" shrinkToFit="1"/>
    </xf>
    <xf numFmtId="0" fontId="154" fillId="0" borderId="102" xfId="65" applyFont="1" applyBorder="1" applyAlignment="1">
      <alignment horizontal="center" vertical="center" wrapText="1" shrinkToFit="1"/>
    </xf>
    <xf numFmtId="0" fontId="154" fillId="0" borderId="103" xfId="65" applyFont="1" applyBorder="1" applyAlignment="1">
      <alignment horizontal="center" vertical="center" wrapText="1" shrinkToFit="1"/>
    </xf>
    <xf numFmtId="0" fontId="154" fillId="0" borderId="104" xfId="65" applyFont="1" applyBorder="1" applyAlignment="1">
      <alignment horizontal="center" vertical="center" wrapText="1" shrinkToFit="1"/>
    </xf>
    <xf numFmtId="0" fontId="162" fillId="0" borderId="0" xfId="63" applyFont="1" applyAlignment="1" applyProtection="1">
      <alignment horizontal="left" vertical="center" wrapText="1"/>
      <protection locked="0"/>
    </xf>
    <xf numFmtId="0" fontId="154" fillId="0" borderId="96" xfId="0" applyFont="1" applyBorder="1" applyAlignment="1">
      <alignment horizontal="center" vertical="center" wrapText="1"/>
    </xf>
    <xf numFmtId="0" fontId="154" fillId="0" borderId="97" xfId="0" applyFont="1" applyBorder="1" applyAlignment="1">
      <alignment horizontal="center" vertical="center" wrapText="1"/>
    </xf>
    <xf numFmtId="0" fontId="154" fillId="0" borderId="98" xfId="0" applyFont="1" applyBorder="1" applyAlignment="1">
      <alignment horizontal="center" vertical="center" wrapText="1"/>
    </xf>
    <xf numFmtId="0" fontId="154" fillId="0" borderId="80" xfId="65" applyFont="1" applyBorder="1" applyAlignment="1">
      <alignment horizontal="center" vertical="center" wrapText="1" shrinkToFit="1"/>
    </xf>
    <xf numFmtId="2" fontId="154" fillId="0" borderId="80" xfId="63" applyNumberFormat="1" applyFont="1" applyBorder="1" applyAlignment="1">
      <alignment horizontal="center" vertical="center" wrapText="1"/>
    </xf>
    <xf numFmtId="167" fontId="149" fillId="50" borderId="86" xfId="0" applyNumberFormat="1" applyFont="1" applyFill="1" applyBorder="1" applyAlignment="1">
      <alignment horizontal="center" vertical="center" wrapText="1"/>
    </xf>
    <xf numFmtId="167" fontId="149" fillId="50" borderId="87" xfId="0" applyNumberFormat="1" applyFont="1" applyFill="1" applyBorder="1" applyAlignment="1">
      <alignment horizontal="center" vertical="center" wrapText="1"/>
    </xf>
    <xf numFmtId="167" fontId="149" fillId="50" borderId="88" xfId="0" applyNumberFormat="1" applyFont="1" applyFill="1" applyBorder="1" applyAlignment="1">
      <alignment horizontal="center" vertical="center" wrapText="1"/>
    </xf>
    <xf numFmtId="0" fontId="154" fillId="0" borderId="99" xfId="65" applyFont="1" applyBorder="1" applyAlignment="1">
      <alignment horizontal="center" vertical="center" wrapText="1" shrinkToFit="1"/>
    </xf>
    <xf numFmtId="0" fontId="154" fillId="0" borderId="100" xfId="65" applyFont="1" applyBorder="1" applyAlignment="1">
      <alignment horizontal="center" vertical="center" wrapText="1" shrinkToFit="1"/>
    </xf>
    <xf numFmtId="0" fontId="154" fillId="0" borderId="101" xfId="65" applyFont="1" applyBorder="1" applyAlignment="1">
      <alignment horizontal="center" vertical="center" wrapText="1" shrinkToFit="1"/>
    </xf>
    <xf numFmtId="2" fontId="154" fillId="0" borderId="99" xfId="63" applyNumberFormat="1" applyFont="1" applyBorder="1" applyAlignment="1">
      <alignment horizontal="center" vertical="center" wrapText="1"/>
    </xf>
    <xf numFmtId="2" fontId="154" fillId="0" borderId="100" xfId="63" applyNumberFormat="1" applyFont="1" applyBorder="1" applyAlignment="1">
      <alignment horizontal="center" vertical="center" wrapText="1"/>
    </xf>
    <xf numFmtId="2" fontId="154" fillId="0" borderId="101" xfId="63" applyNumberFormat="1" applyFont="1" applyBorder="1" applyAlignment="1">
      <alignment horizontal="center" vertical="center" wrapText="1"/>
    </xf>
    <xf numFmtId="2" fontId="154" fillId="0" borderId="99" xfId="65" quotePrefix="1" applyNumberFormat="1" applyFont="1" applyBorder="1" applyAlignment="1">
      <alignment horizontal="center" vertical="center" wrapText="1" shrinkToFit="1"/>
    </xf>
    <xf numFmtId="2" fontId="154" fillId="0" borderId="100" xfId="65" quotePrefix="1" applyNumberFormat="1" applyFont="1" applyBorder="1" applyAlignment="1">
      <alignment horizontal="center" vertical="center" wrapText="1" shrinkToFit="1"/>
    </xf>
    <xf numFmtId="2" fontId="154" fillId="0" borderId="101" xfId="65" quotePrefix="1" applyNumberFormat="1" applyFont="1" applyBorder="1" applyAlignment="1">
      <alignment horizontal="center" vertical="center" wrapText="1" shrinkToFit="1"/>
    </xf>
    <xf numFmtId="0" fontId="141" fillId="0" borderId="15" xfId="0" applyFont="1" applyBorder="1" applyAlignment="1" applyProtection="1">
      <alignment horizontal="center" vertical="center" wrapText="1"/>
      <protection locked="0"/>
    </xf>
    <xf numFmtId="0" fontId="25" fillId="0" borderId="51" xfId="0" applyFont="1" applyBorder="1" applyAlignment="1" applyProtection="1">
      <alignment horizontal="center" vertical="center" textRotation="90" wrapText="1"/>
      <protection locked="0"/>
    </xf>
    <xf numFmtId="0" fontId="159" fillId="0" borderId="15" xfId="63" applyFont="1" applyBorder="1" applyAlignment="1" applyProtection="1">
      <alignment horizontal="center" vertical="center" textRotation="90"/>
      <protection locked="0"/>
    </xf>
    <xf numFmtId="167" fontId="150" fillId="45" borderId="80" xfId="80" applyNumberFormat="1" applyFont="1" applyFill="1" applyBorder="1" applyAlignment="1" applyProtection="1">
      <alignment horizontal="center" vertical="center" textRotation="90"/>
      <protection locked="0"/>
    </xf>
    <xf numFmtId="167" fontId="150" fillId="45" borderId="82" xfId="80" applyNumberFormat="1" applyFont="1" applyFill="1" applyBorder="1" applyAlignment="1" applyProtection="1">
      <alignment horizontal="center" vertical="center" textRotation="90"/>
      <protection locked="0"/>
    </xf>
    <xf numFmtId="167" fontId="150" fillId="45" borderId="80" xfId="80" applyNumberFormat="1" applyFont="1" applyFill="1" applyBorder="1" applyAlignment="1" applyProtection="1">
      <alignment horizontal="center" vertical="center" wrapText="1"/>
      <protection locked="0"/>
    </xf>
    <xf numFmtId="167" fontId="150" fillId="45" borderId="82" xfId="80" applyNumberFormat="1" applyFont="1" applyFill="1" applyBorder="1" applyAlignment="1" applyProtection="1">
      <alignment horizontal="center" vertical="center" wrapText="1"/>
      <protection locked="0"/>
    </xf>
    <xf numFmtId="167" fontId="150" fillId="45" borderId="80" xfId="65" applyNumberFormat="1" applyFont="1" applyFill="1" applyBorder="1" applyAlignment="1" applyProtection="1">
      <alignment horizontal="center" vertical="center" textRotation="90" wrapText="1"/>
      <protection locked="0"/>
    </xf>
    <xf numFmtId="167" fontId="150" fillId="45" borderId="82" xfId="65" applyNumberFormat="1" applyFont="1" applyFill="1" applyBorder="1" applyAlignment="1" applyProtection="1">
      <alignment horizontal="center" vertical="center" textRotation="90" wrapText="1"/>
      <protection locked="0"/>
    </xf>
    <xf numFmtId="0" fontId="190" fillId="0" borderId="0" xfId="80" applyFont="1" applyAlignment="1">
      <alignment horizontal="left" vertical="center" wrapText="1"/>
    </xf>
    <xf numFmtId="0" fontId="178" fillId="0" borderId="0" xfId="80" applyFont="1" applyAlignment="1">
      <alignment horizontal="left" vertical="center" wrapText="1"/>
    </xf>
    <xf numFmtId="167" fontId="149" fillId="50" borderId="78" xfId="80" applyNumberFormat="1" applyFont="1" applyFill="1" applyBorder="1" applyAlignment="1" applyProtection="1">
      <alignment horizontal="center" vertical="center"/>
      <protection locked="0"/>
    </xf>
    <xf numFmtId="9" fontId="150" fillId="45" borderId="82" xfId="80" applyNumberFormat="1" applyFont="1" applyFill="1" applyBorder="1" applyAlignment="1" applyProtection="1">
      <alignment horizontal="center" vertical="center" textRotation="90" wrapText="1"/>
      <protection locked="0"/>
    </xf>
    <xf numFmtId="167" fontId="150" fillId="45" borderId="80" xfId="80" applyNumberFormat="1" applyFont="1" applyFill="1" applyBorder="1" applyAlignment="1" applyProtection="1">
      <alignment horizontal="center" vertical="center" textRotation="90" wrapText="1"/>
      <protection locked="0"/>
    </xf>
    <xf numFmtId="167" fontId="150" fillId="45" borderId="82" xfId="80" applyNumberFormat="1" applyFont="1" applyFill="1" applyBorder="1" applyAlignment="1" applyProtection="1">
      <alignment horizontal="center" vertical="center" textRotation="90" wrapText="1"/>
      <protection locked="0"/>
    </xf>
    <xf numFmtId="0" fontId="120" fillId="27" borderId="15" xfId="0" applyFont="1" applyFill="1" applyBorder="1" applyAlignment="1" applyProtection="1">
      <alignment horizontal="center" vertical="center" wrapText="1"/>
      <protection locked="0"/>
    </xf>
    <xf numFmtId="0" fontId="118" fillId="27" borderId="21" xfId="63" applyFont="1" applyFill="1" applyBorder="1" applyAlignment="1" applyProtection="1">
      <alignment horizontal="center" vertical="center" textRotation="90" wrapText="1"/>
      <protection locked="0"/>
    </xf>
    <xf numFmtId="0" fontId="118" fillId="27" borderId="47" xfId="63" applyFont="1" applyFill="1" applyBorder="1" applyAlignment="1" applyProtection="1">
      <alignment horizontal="center" vertical="center" textRotation="90" wrapText="1"/>
      <protection locked="0"/>
    </xf>
    <xf numFmtId="0" fontId="118" fillId="27" borderId="19" xfId="63" applyFont="1" applyFill="1" applyBorder="1" applyAlignment="1" applyProtection="1">
      <alignment horizontal="center" vertical="center" textRotation="90" wrapText="1"/>
      <protection locked="0"/>
    </xf>
    <xf numFmtId="0" fontId="118" fillId="27" borderId="15" xfId="63" applyFont="1" applyFill="1" applyBorder="1" applyAlignment="1" applyProtection="1">
      <alignment horizontal="center" vertical="center" textRotation="90" wrapText="1"/>
      <protection locked="0"/>
    </xf>
    <xf numFmtId="190" fontId="153" fillId="0" borderId="79" xfId="80" applyNumberFormat="1" applyFont="1" applyBorder="1" applyAlignment="1">
      <alignment horizontal="center" vertical="center" wrapText="1"/>
    </xf>
    <xf numFmtId="190" fontId="153" fillId="0" borderId="81" xfId="80" applyNumberFormat="1" applyFont="1" applyBorder="1" applyAlignment="1">
      <alignment horizontal="center" vertical="center" wrapText="1"/>
    </xf>
    <xf numFmtId="0" fontId="155" fillId="50" borderId="85" xfId="80" applyFont="1" applyFill="1" applyBorder="1" applyAlignment="1" applyProtection="1">
      <alignment horizontal="center" vertical="center" wrapText="1"/>
      <protection locked="0"/>
    </xf>
    <xf numFmtId="0" fontId="25" fillId="0" borderId="38" xfId="0" applyFont="1" applyBorder="1" applyAlignment="1" applyProtection="1">
      <alignment horizontal="center" vertical="center" textRotation="90" wrapText="1"/>
      <protection locked="0"/>
    </xf>
    <xf numFmtId="0" fontId="25" fillId="0" borderId="29" xfId="0" applyFont="1" applyBorder="1" applyAlignment="1" applyProtection="1">
      <alignment horizontal="center" vertical="center" textRotation="90" wrapText="1"/>
      <protection locked="0"/>
    </xf>
    <xf numFmtId="0" fontId="25" fillId="0" borderId="37" xfId="0" applyFont="1" applyBorder="1" applyAlignment="1" applyProtection="1">
      <alignment horizontal="center" vertical="center" textRotation="90" wrapText="1"/>
      <protection locked="0"/>
    </xf>
    <xf numFmtId="0" fontId="18" fillId="0" borderId="33" xfId="63" applyBorder="1" applyAlignment="1" applyProtection="1">
      <alignment horizontal="center" vertical="center"/>
      <protection locked="0"/>
    </xf>
    <xf numFmtId="0" fontId="18" fillId="0" borderId="61" xfId="63" applyBorder="1" applyAlignment="1" applyProtection="1">
      <alignment horizontal="center" vertical="center"/>
      <protection locked="0"/>
    </xf>
    <xf numFmtId="0" fontId="18" fillId="0" borderId="38" xfId="63" applyBorder="1" applyAlignment="1" applyProtection="1">
      <alignment horizontal="center" vertical="center"/>
      <protection locked="0"/>
    </xf>
    <xf numFmtId="0" fontId="18" fillId="0" borderId="51" xfId="0" applyFont="1" applyBorder="1" applyAlignment="1" applyProtection="1">
      <alignment horizontal="center" vertical="center"/>
      <protection locked="0"/>
    </xf>
    <xf numFmtId="0" fontId="18" fillId="0" borderId="17" xfId="0" applyFont="1" applyBorder="1" applyAlignment="1" applyProtection="1">
      <alignment horizontal="center" vertical="center"/>
      <protection locked="0"/>
    </xf>
    <xf numFmtId="0" fontId="18" fillId="0" borderId="34" xfId="0" applyFont="1" applyBorder="1" applyAlignment="1" applyProtection="1">
      <alignment horizontal="center" vertical="center"/>
      <protection locked="0"/>
    </xf>
    <xf numFmtId="0" fontId="18" fillId="0" borderId="33" xfId="0" applyFont="1" applyBorder="1" applyAlignment="1" applyProtection="1">
      <alignment horizontal="center" vertical="center"/>
      <protection locked="0"/>
    </xf>
    <xf numFmtId="0" fontId="18" fillId="0" borderId="38" xfId="0" applyFont="1" applyBorder="1" applyAlignment="1" applyProtection="1">
      <alignment horizontal="center" vertical="center"/>
      <protection locked="0"/>
    </xf>
    <xf numFmtId="0" fontId="18" fillId="0" borderId="51" xfId="63" applyBorder="1" applyAlignment="1" applyProtection="1">
      <alignment horizontal="center" vertical="center"/>
      <protection locked="0"/>
    </xf>
    <xf numFmtId="0" fontId="18" fillId="0" borderId="17" xfId="63" applyBorder="1" applyAlignment="1" applyProtection="1">
      <alignment horizontal="center" vertical="center"/>
      <protection locked="0"/>
    </xf>
    <xf numFmtId="0" fontId="18" fillId="0" borderId="34" xfId="63" applyBorder="1" applyAlignment="1" applyProtection="1">
      <alignment horizontal="center" vertical="center"/>
      <protection locked="0"/>
    </xf>
    <xf numFmtId="0" fontId="59" fillId="29" borderId="21" xfId="63" applyFont="1" applyFill="1" applyBorder="1" applyAlignment="1" applyProtection="1">
      <alignment horizontal="center" vertical="center" textRotation="90" wrapText="1"/>
      <protection locked="0"/>
    </xf>
    <xf numFmtId="0" fontId="59" fillId="29" borderId="47" xfId="63" applyFont="1" applyFill="1" applyBorder="1" applyAlignment="1" applyProtection="1">
      <alignment horizontal="center" vertical="center" textRotation="90" wrapText="1"/>
      <protection locked="0"/>
    </xf>
    <xf numFmtId="0" fontId="59" fillId="29" borderId="19" xfId="63" applyFont="1" applyFill="1" applyBorder="1" applyAlignment="1" applyProtection="1">
      <alignment horizontal="center" vertical="center" textRotation="90" wrapText="1"/>
      <protection locked="0"/>
    </xf>
    <xf numFmtId="42" fontId="118" fillId="27" borderId="21" xfId="84" applyFont="1" applyFill="1" applyBorder="1" applyAlignment="1" applyProtection="1">
      <alignment horizontal="center" vertical="center" textRotation="90" wrapText="1"/>
      <protection locked="0"/>
    </xf>
    <xf numFmtId="42" fontId="118" fillId="27" borderId="47" xfId="84" applyFont="1" applyFill="1" applyBorder="1" applyAlignment="1" applyProtection="1">
      <alignment horizontal="center" vertical="center" textRotation="90" wrapText="1"/>
      <protection locked="0"/>
    </xf>
    <xf numFmtId="42" fontId="118" fillId="27" borderId="19" xfId="84" applyFont="1" applyFill="1" applyBorder="1" applyAlignment="1" applyProtection="1">
      <alignment horizontal="center" vertical="center" textRotation="90" wrapText="1"/>
      <protection locked="0"/>
    </xf>
    <xf numFmtId="0" fontId="120" fillId="27" borderId="15" xfId="63" applyFont="1" applyFill="1" applyBorder="1" applyAlignment="1" applyProtection="1">
      <alignment horizontal="center" vertical="center" wrapText="1"/>
      <protection locked="0"/>
    </xf>
    <xf numFmtId="0" fontId="18" fillId="0" borderId="21" xfId="63" applyBorder="1" applyAlignment="1" applyProtection="1">
      <alignment horizontal="center" vertical="center"/>
      <protection locked="0"/>
    </xf>
    <xf numFmtId="0" fontId="18" fillId="0" borderId="19" xfId="63" applyBorder="1" applyAlignment="1" applyProtection="1">
      <alignment horizontal="center" vertical="center"/>
      <protection locked="0"/>
    </xf>
    <xf numFmtId="0" fontId="25" fillId="0" borderId="21" xfId="0" applyFont="1" applyBorder="1" applyAlignment="1" applyProtection="1">
      <alignment horizontal="center" vertical="center" wrapText="1"/>
      <protection locked="0"/>
    </xf>
    <xf numFmtId="0" fontId="25" fillId="0" borderId="47" xfId="0" applyFont="1" applyBorder="1" applyAlignment="1" applyProtection="1">
      <alignment horizontal="center" vertical="center" wrapText="1"/>
      <protection locked="0"/>
    </xf>
    <xf numFmtId="0" fontId="25" fillId="0" borderId="19" xfId="0" applyFont="1" applyBorder="1" applyAlignment="1" applyProtection="1">
      <alignment horizontal="center" vertical="center" wrapText="1"/>
      <protection locked="0"/>
    </xf>
    <xf numFmtId="0" fontId="89" fillId="0" borderId="15" xfId="0" applyFont="1" applyBorder="1" applyAlignment="1" applyProtection="1">
      <alignment horizontal="center" vertical="center"/>
      <protection locked="0"/>
    </xf>
    <xf numFmtId="0" fontId="118" fillId="27" borderId="33" xfId="63" applyFont="1" applyFill="1" applyBorder="1" applyAlignment="1" applyProtection="1">
      <alignment horizontal="center" vertical="center" textRotation="90" wrapText="1"/>
      <protection locked="0"/>
    </xf>
    <xf numFmtId="0" fontId="118" fillId="27" borderId="48" xfId="63" applyFont="1" applyFill="1" applyBorder="1" applyAlignment="1" applyProtection="1">
      <alignment horizontal="center" vertical="center" textRotation="90" wrapText="1"/>
      <protection locked="0"/>
    </xf>
    <xf numFmtId="0" fontId="118" fillId="27" borderId="49" xfId="63" applyFont="1" applyFill="1" applyBorder="1" applyAlignment="1" applyProtection="1">
      <alignment horizontal="center" vertical="center" textRotation="90" wrapText="1"/>
      <protection locked="0"/>
    </xf>
    <xf numFmtId="0" fontId="89" fillId="0" borderId="21" xfId="0" applyFont="1" applyBorder="1" applyAlignment="1" applyProtection="1">
      <alignment horizontal="center" vertical="center"/>
      <protection locked="0"/>
    </xf>
    <xf numFmtId="0" fontId="89" fillId="0" borderId="47" xfId="0" applyFont="1" applyBorder="1" applyAlignment="1" applyProtection="1">
      <alignment horizontal="center" vertical="center"/>
      <protection locked="0"/>
    </xf>
    <xf numFmtId="0" fontId="89" fillId="0" borderId="19" xfId="0" applyFont="1" applyBorder="1" applyAlignment="1" applyProtection="1">
      <alignment horizontal="center" vertical="center"/>
      <protection locked="0"/>
    </xf>
    <xf numFmtId="167" fontId="149" fillId="0" borderId="79" xfId="80" applyNumberFormat="1" applyFont="1" applyBorder="1" applyAlignment="1" applyProtection="1">
      <alignment horizontal="center" vertical="center" wrapText="1"/>
      <protection locked="0"/>
    </xf>
    <xf numFmtId="167" fontId="149" fillId="0" borderId="81" xfId="80" applyNumberFormat="1" applyFont="1" applyBorder="1" applyAlignment="1" applyProtection="1">
      <alignment horizontal="center" vertical="center" wrapText="1"/>
      <protection locked="0"/>
    </xf>
    <xf numFmtId="2" fontId="28" fillId="0" borderId="21" xfId="0" applyNumberFormat="1" applyFont="1" applyBorder="1" applyAlignment="1" applyProtection="1">
      <alignment horizontal="center" vertical="center"/>
      <protection locked="0"/>
    </xf>
    <xf numFmtId="2" fontId="28" fillId="0" borderId="19" xfId="0" applyNumberFormat="1" applyFont="1" applyBorder="1" applyAlignment="1" applyProtection="1">
      <alignment horizontal="center" vertical="center"/>
      <protection locked="0"/>
    </xf>
    <xf numFmtId="2" fontId="28" fillId="0" borderId="21" xfId="0" applyNumberFormat="1" applyFont="1" applyBorder="1" applyAlignment="1" applyProtection="1">
      <alignment horizontal="center" vertical="center" wrapText="1"/>
      <protection locked="0"/>
    </xf>
    <xf numFmtId="2" fontId="28" fillId="0" borderId="19" xfId="0" applyNumberFormat="1" applyFont="1" applyBorder="1" applyAlignment="1" applyProtection="1">
      <alignment horizontal="center" vertical="center" wrapText="1"/>
      <protection locked="0"/>
    </xf>
    <xf numFmtId="9" fontId="28" fillId="0" borderId="21" xfId="0" applyNumberFormat="1" applyFont="1" applyBorder="1" applyAlignment="1" applyProtection="1">
      <alignment horizontal="center" vertical="center" wrapText="1"/>
      <protection locked="0"/>
    </xf>
    <xf numFmtId="9" fontId="28" fillId="0" borderId="19" xfId="0" applyNumberFormat="1" applyFont="1" applyBorder="1" applyAlignment="1" applyProtection="1">
      <alignment horizontal="center" vertical="center" wrapText="1"/>
      <protection locked="0"/>
    </xf>
    <xf numFmtId="1" fontId="89" fillId="0" borderId="21" xfId="0" applyNumberFormat="1" applyFont="1" applyBorder="1" applyAlignment="1" applyProtection="1">
      <alignment horizontal="center" vertical="center"/>
      <protection locked="0"/>
    </xf>
    <xf numFmtId="1" fontId="89" fillId="0" borderId="19" xfId="0" applyNumberFormat="1" applyFont="1" applyBorder="1" applyAlignment="1" applyProtection="1">
      <alignment horizontal="center" vertical="center"/>
      <protection locked="0"/>
    </xf>
    <xf numFmtId="172" fontId="18" fillId="0" borderId="21" xfId="63" applyNumberFormat="1" applyBorder="1" applyAlignment="1" applyProtection="1">
      <alignment horizontal="center" vertical="center"/>
      <protection locked="0"/>
    </xf>
    <xf numFmtId="172" fontId="18" fillId="0" borderId="19" xfId="63" applyNumberFormat="1" applyBorder="1" applyAlignment="1" applyProtection="1">
      <alignment horizontal="center" vertical="center"/>
      <protection locked="0"/>
    </xf>
    <xf numFmtId="9" fontId="18" fillId="0" borderId="21" xfId="63" applyNumberFormat="1" applyBorder="1" applyAlignment="1" applyProtection="1">
      <alignment horizontal="center" vertical="center"/>
      <protection locked="0"/>
    </xf>
    <xf numFmtId="9" fontId="18" fillId="0" borderId="19" xfId="63" applyNumberFormat="1" applyBorder="1" applyAlignment="1" applyProtection="1">
      <alignment horizontal="center" vertical="center"/>
      <protection locked="0"/>
    </xf>
    <xf numFmtId="1" fontId="79" fillId="0" borderId="15" xfId="0" applyNumberFormat="1" applyFont="1" applyBorder="1" applyAlignment="1" applyProtection="1">
      <alignment horizontal="center" vertical="center"/>
      <protection locked="0"/>
    </xf>
    <xf numFmtId="172" fontId="81" fillId="0" borderId="51" xfId="0" applyNumberFormat="1" applyFont="1" applyBorder="1" applyAlignment="1" applyProtection="1">
      <alignment horizontal="center" vertical="center" wrapText="1"/>
      <protection locked="0"/>
    </xf>
    <xf numFmtId="172" fontId="81" fillId="0" borderId="17" xfId="0" applyNumberFormat="1" applyFont="1" applyBorder="1" applyAlignment="1" applyProtection="1">
      <alignment horizontal="center" vertical="center" wrapText="1"/>
      <protection locked="0"/>
    </xf>
    <xf numFmtId="172" fontId="81" fillId="0" borderId="34" xfId="0" applyNumberFormat="1" applyFont="1" applyBorder="1" applyAlignment="1" applyProtection="1">
      <alignment horizontal="center" vertical="center" wrapText="1"/>
      <protection locked="0"/>
    </xf>
    <xf numFmtId="0" fontId="81" fillId="0" borderId="65" xfId="80" applyFont="1" applyBorder="1" applyAlignment="1">
      <alignment horizontal="center" vertical="center" wrapText="1"/>
    </xf>
    <xf numFmtId="0" fontId="81" fillId="0" borderId="9" xfId="80" applyFont="1" applyBorder="1" applyAlignment="1">
      <alignment horizontal="center" vertical="center" wrapText="1"/>
    </xf>
    <xf numFmtId="0" fontId="81" fillId="0" borderId="66" xfId="80" applyFont="1" applyBorder="1" applyAlignment="1">
      <alignment horizontal="center" vertical="center" wrapText="1"/>
    </xf>
    <xf numFmtId="49" fontId="79" fillId="0" borderId="67" xfId="80" applyNumberFormat="1" applyFont="1" applyBorder="1" applyAlignment="1">
      <alignment horizontal="center" vertical="center" wrapText="1"/>
    </xf>
    <xf numFmtId="0" fontId="79" fillId="0" borderId="68" xfId="80" applyFont="1" applyBorder="1" applyAlignment="1">
      <alignment horizontal="center" vertical="center" wrapText="1"/>
    </xf>
    <xf numFmtId="0" fontId="79" fillId="0" borderId="69" xfId="80" applyFont="1" applyBorder="1" applyAlignment="1">
      <alignment horizontal="center" vertical="center" wrapText="1"/>
    </xf>
    <xf numFmtId="0" fontId="18" fillId="0" borderId="67" xfId="63" applyBorder="1" applyAlignment="1">
      <alignment horizontal="center" vertical="center" wrapText="1"/>
    </xf>
    <xf numFmtId="0" fontId="18" fillId="0" borderId="68" xfId="63" applyBorder="1" applyAlignment="1">
      <alignment horizontal="center" vertical="center" wrapText="1"/>
    </xf>
    <xf numFmtId="0" fontId="18" fillId="0" borderId="69" xfId="63" applyBorder="1" applyAlignment="1">
      <alignment horizontal="center" vertical="center" wrapText="1"/>
    </xf>
    <xf numFmtId="179" fontId="18" fillId="0" borderId="67" xfId="63" applyNumberFormat="1" applyBorder="1" applyAlignment="1">
      <alignment horizontal="center" vertical="center" wrapText="1"/>
    </xf>
    <xf numFmtId="179" fontId="18" fillId="0" borderId="68" xfId="63" applyNumberFormat="1" applyBorder="1" applyAlignment="1">
      <alignment horizontal="center" vertical="center" wrapText="1"/>
    </xf>
    <xf numFmtId="179" fontId="18" fillId="0" borderId="69" xfId="63" applyNumberFormat="1" applyBorder="1" applyAlignment="1">
      <alignment horizontal="center" vertical="center" wrapText="1"/>
    </xf>
    <xf numFmtId="179" fontId="67" fillId="40" borderId="15" xfId="63" applyNumberFormat="1" applyFont="1" applyFill="1" applyBorder="1" applyAlignment="1" applyProtection="1">
      <alignment horizontal="center" vertical="center" wrapText="1"/>
      <protection locked="0"/>
    </xf>
    <xf numFmtId="173" fontId="28" fillId="0" borderId="21" xfId="0" applyNumberFormat="1" applyFont="1" applyBorder="1" applyAlignment="1" applyProtection="1">
      <alignment horizontal="center" vertical="center" wrapText="1"/>
      <protection locked="0"/>
    </xf>
    <xf numFmtId="173" fontId="28" fillId="0" borderId="19" xfId="0" applyNumberFormat="1" applyFont="1" applyBorder="1" applyAlignment="1" applyProtection="1">
      <alignment horizontal="center" vertical="center" wrapText="1"/>
      <protection locked="0"/>
    </xf>
    <xf numFmtId="179" fontId="28" fillId="0" borderId="15" xfId="63" applyNumberFormat="1" applyFont="1" applyBorder="1" applyAlignment="1" applyProtection="1">
      <alignment horizontal="left" vertical="center"/>
      <protection locked="0"/>
    </xf>
    <xf numFmtId="173" fontId="28" fillId="0" borderId="21" xfId="0" applyNumberFormat="1" applyFont="1" applyBorder="1" applyAlignment="1" applyProtection="1">
      <alignment horizontal="center" vertical="center"/>
      <protection locked="0"/>
    </xf>
    <xf numFmtId="173" fontId="28" fillId="0" borderId="19" xfId="0" applyNumberFormat="1" applyFont="1" applyBorder="1" applyAlignment="1" applyProtection="1">
      <alignment horizontal="center" vertical="center"/>
      <protection locked="0"/>
    </xf>
    <xf numFmtId="190" fontId="104" fillId="0" borderId="15" xfId="80" applyNumberFormat="1" applyFont="1" applyBorder="1" applyAlignment="1" applyProtection="1">
      <alignment horizontal="center" vertical="center" wrapText="1"/>
      <protection locked="0"/>
    </xf>
    <xf numFmtId="167" fontId="88" fillId="0" borderId="15" xfId="80" applyNumberFormat="1" applyFont="1" applyBorder="1" applyAlignment="1" applyProtection="1">
      <alignment horizontal="center" vertical="center"/>
      <protection locked="0"/>
    </xf>
    <xf numFmtId="167" fontId="61" fillId="0" borderId="51" xfId="80" applyNumberFormat="1" applyFont="1" applyBorder="1" applyAlignment="1" applyProtection="1">
      <alignment horizontal="center" vertical="center"/>
      <protection locked="0"/>
    </xf>
    <xf numFmtId="167" fontId="61" fillId="0" borderId="34" xfId="80" applyNumberFormat="1" applyFont="1" applyBorder="1" applyAlignment="1" applyProtection="1">
      <alignment horizontal="center" vertical="center"/>
      <protection locked="0"/>
    </xf>
    <xf numFmtId="167" fontId="25" fillId="0" borderId="21" xfId="65" applyNumberFormat="1" applyFont="1" applyBorder="1" applyAlignment="1" applyProtection="1">
      <alignment horizontal="center" vertical="center" textRotation="90" wrapText="1"/>
      <protection locked="0"/>
    </xf>
    <xf numFmtId="167" fontId="25" fillId="0" borderId="47" xfId="65" applyNumberFormat="1" applyFont="1" applyBorder="1" applyAlignment="1" applyProtection="1">
      <alignment horizontal="center" vertical="center" textRotation="90" wrapText="1"/>
      <protection locked="0"/>
    </xf>
    <xf numFmtId="0" fontId="101" fillId="0" borderId="15" xfId="80" applyFont="1" applyBorder="1" applyAlignment="1" applyProtection="1">
      <alignment horizontal="center" vertical="center" wrapText="1"/>
      <protection locked="0"/>
    </xf>
    <xf numFmtId="167" fontId="26" fillId="0" borderId="33" xfId="80" applyNumberFormat="1" applyFont="1" applyBorder="1" applyAlignment="1" applyProtection="1">
      <alignment horizontal="center" vertical="center" wrapText="1"/>
      <protection locked="0"/>
    </xf>
    <xf numFmtId="167" fontId="26" fillId="0" borderId="61" xfId="80" applyNumberFormat="1" applyFont="1" applyBorder="1" applyAlignment="1" applyProtection="1">
      <alignment horizontal="center" vertical="center" wrapText="1"/>
      <protection locked="0"/>
    </xf>
    <xf numFmtId="167" fontId="26" fillId="0" borderId="38" xfId="80" applyNumberFormat="1" applyFont="1" applyBorder="1" applyAlignment="1" applyProtection="1">
      <alignment horizontal="center" vertical="center" wrapText="1"/>
      <protection locked="0"/>
    </xf>
    <xf numFmtId="167" fontId="26" fillId="0" borderId="49" xfId="80" applyNumberFormat="1" applyFont="1" applyBorder="1" applyAlignment="1" applyProtection="1">
      <alignment horizontal="center" vertical="center" wrapText="1"/>
      <protection locked="0"/>
    </xf>
    <xf numFmtId="167" fontId="26" fillId="0" borderId="14" xfId="80" applyNumberFormat="1" applyFont="1" applyBorder="1" applyAlignment="1" applyProtection="1">
      <alignment horizontal="center" vertical="center" wrapText="1"/>
      <protection locked="0"/>
    </xf>
    <xf numFmtId="167" fontId="26" fillId="0" borderId="37" xfId="80" applyNumberFormat="1" applyFont="1" applyBorder="1" applyAlignment="1" applyProtection="1">
      <alignment horizontal="center" vertical="center" wrapText="1"/>
      <protection locked="0"/>
    </xf>
    <xf numFmtId="167" fontId="25" fillId="0" borderId="21" xfId="80" applyNumberFormat="1" applyFont="1" applyBorder="1" applyAlignment="1" applyProtection="1">
      <alignment horizontal="center" vertical="center" textRotation="90"/>
      <protection locked="0"/>
    </xf>
    <xf numFmtId="167" fontId="25" fillId="0" borderId="47" xfId="80" applyNumberFormat="1" applyFont="1" applyBorder="1" applyAlignment="1" applyProtection="1">
      <alignment horizontal="center" vertical="center" textRotation="90"/>
      <protection locked="0"/>
    </xf>
    <xf numFmtId="167" fontId="25" fillId="0" borderId="19" xfId="80" applyNumberFormat="1" applyFont="1" applyBorder="1" applyAlignment="1" applyProtection="1">
      <alignment horizontal="center" vertical="center" textRotation="90"/>
      <protection locked="0"/>
    </xf>
    <xf numFmtId="167" fontId="25" fillId="0" borderId="21" xfId="80" applyNumberFormat="1" applyFont="1" applyBorder="1" applyAlignment="1" applyProtection="1">
      <alignment horizontal="center" vertical="center" wrapText="1"/>
      <protection locked="0"/>
    </xf>
    <xf numFmtId="167" fontId="25" fillId="0" borderId="47" xfId="80" applyNumberFormat="1" applyFont="1" applyBorder="1" applyAlignment="1" applyProtection="1">
      <alignment horizontal="center" vertical="center" wrapText="1"/>
      <protection locked="0"/>
    </xf>
    <xf numFmtId="187" fontId="18" fillId="0" borderId="21" xfId="63" applyNumberFormat="1" applyBorder="1" applyAlignment="1" applyProtection="1">
      <alignment horizontal="center" vertical="center"/>
      <protection locked="0"/>
    </xf>
    <xf numFmtId="187" fontId="18" fillId="0" borderId="19" xfId="63" applyNumberFormat="1" applyBorder="1" applyAlignment="1" applyProtection="1">
      <alignment horizontal="center" vertical="center"/>
      <protection locked="0"/>
    </xf>
    <xf numFmtId="0" fontId="81" fillId="0" borderId="64" xfId="80" applyFont="1" applyBorder="1" applyAlignment="1">
      <alignment horizontal="center" vertical="center" wrapText="1"/>
    </xf>
    <xf numFmtId="0" fontId="81" fillId="0" borderId="0" xfId="80" applyFont="1" applyAlignment="1">
      <alignment horizontal="center" vertical="center" wrapText="1"/>
    </xf>
    <xf numFmtId="0" fontId="81" fillId="0" borderId="73" xfId="80" applyFont="1" applyBorder="1" applyAlignment="1">
      <alignment horizontal="center" vertical="center" wrapText="1"/>
    </xf>
    <xf numFmtId="0" fontId="81" fillId="0" borderId="67" xfId="80" applyFont="1" applyBorder="1" applyAlignment="1">
      <alignment horizontal="center" vertical="center" wrapText="1"/>
    </xf>
    <xf numFmtId="0" fontId="81" fillId="0" borderId="68" xfId="80" applyFont="1" applyBorder="1" applyAlignment="1">
      <alignment horizontal="center" vertical="center" wrapText="1"/>
    </xf>
    <xf numFmtId="0" fontId="81" fillId="0" borderId="69" xfId="80" applyFont="1" applyBorder="1" applyAlignment="1">
      <alignment horizontal="center" vertical="center" wrapText="1"/>
    </xf>
    <xf numFmtId="49" fontId="101" fillId="0" borderId="65" xfId="80" applyNumberFormat="1" applyFont="1" applyBorder="1" applyAlignment="1">
      <alignment horizontal="center" vertical="center" wrapText="1"/>
    </xf>
    <xf numFmtId="0" fontId="101" fillId="0" borderId="9" xfId="80" applyFont="1" applyBorder="1" applyAlignment="1">
      <alignment horizontal="center" vertical="center" wrapText="1"/>
    </xf>
    <xf numFmtId="0" fontId="101" fillId="0" borderId="66" xfId="80" applyFont="1" applyBorder="1" applyAlignment="1">
      <alignment horizontal="center" vertical="center" wrapText="1"/>
    </xf>
    <xf numFmtId="0" fontId="101" fillId="0" borderId="67" xfId="80" applyFont="1" applyBorder="1" applyAlignment="1">
      <alignment horizontal="center" vertical="center" wrapText="1"/>
    </xf>
    <xf numFmtId="0" fontId="101" fillId="0" borderId="68" xfId="80" applyFont="1" applyBorder="1" applyAlignment="1">
      <alignment horizontal="center" vertical="center" wrapText="1"/>
    </xf>
    <xf numFmtId="0" fontId="101" fillId="0" borderId="69" xfId="80" applyFont="1" applyBorder="1" applyAlignment="1">
      <alignment horizontal="center" vertical="center" wrapText="1"/>
    </xf>
    <xf numFmtId="0" fontId="102" fillId="0" borderId="65" xfId="80" applyFont="1" applyBorder="1" applyAlignment="1">
      <alignment horizontal="center" vertical="center" wrapText="1"/>
    </xf>
    <xf numFmtId="0" fontId="102" fillId="0" borderId="9" xfId="80" applyFont="1" applyBorder="1" applyAlignment="1">
      <alignment horizontal="center" vertical="center" wrapText="1"/>
    </xf>
    <xf numFmtId="0" fontId="102" fillId="0" borderId="66" xfId="80" applyFont="1" applyBorder="1" applyAlignment="1">
      <alignment horizontal="center" vertical="center" wrapText="1"/>
    </xf>
    <xf numFmtId="0" fontId="102" fillId="0" borderId="67" xfId="80" applyFont="1" applyBorder="1" applyAlignment="1">
      <alignment horizontal="center" vertical="center" wrapText="1"/>
    </xf>
    <xf numFmtId="0" fontId="102" fillId="0" borderId="68" xfId="80" applyFont="1" applyBorder="1" applyAlignment="1">
      <alignment horizontal="center" vertical="center" wrapText="1"/>
    </xf>
    <xf numFmtId="0" fontId="102" fillId="0" borderId="69" xfId="80" applyFont="1" applyBorder="1" applyAlignment="1">
      <alignment horizontal="center" vertical="center" wrapText="1"/>
    </xf>
    <xf numFmtId="9" fontId="25" fillId="0" borderId="21" xfId="80" applyNumberFormat="1" applyFont="1" applyBorder="1" applyAlignment="1" applyProtection="1">
      <alignment horizontal="center" vertical="center" textRotation="90" wrapText="1"/>
      <protection locked="0"/>
    </xf>
    <xf numFmtId="9" fontId="25" fillId="0" borderId="47" xfId="80" applyNumberFormat="1" applyFont="1" applyBorder="1" applyAlignment="1" applyProtection="1">
      <alignment horizontal="center" vertical="center" textRotation="90" wrapText="1"/>
      <protection locked="0"/>
    </xf>
    <xf numFmtId="9" fontId="25" fillId="0" borderId="19" xfId="80" applyNumberFormat="1" applyFont="1" applyBorder="1" applyAlignment="1" applyProtection="1">
      <alignment horizontal="center" vertical="center" textRotation="90" wrapText="1"/>
      <protection locked="0"/>
    </xf>
    <xf numFmtId="167" fontId="25" fillId="0" borderId="21" xfId="80" applyNumberFormat="1" applyFont="1" applyBorder="1" applyAlignment="1" applyProtection="1">
      <alignment horizontal="center" vertical="center" textRotation="90" wrapText="1"/>
      <protection locked="0"/>
    </xf>
    <xf numFmtId="167" fontId="25" fillId="0" borderId="47" xfId="80" applyNumberFormat="1" applyFont="1" applyBorder="1" applyAlignment="1" applyProtection="1">
      <alignment horizontal="center" vertical="center" textRotation="90" wrapText="1"/>
      <protection locked="0"/>
    </xf>
    <xf numFmtId="167" fontId="25" fillId="0" borderId="19" xfId="80" applyNumberFormat="1" applyFont="1" applyBorder="1" applyAlignment="1" applyProtection="1">
      <alignment horizontal="center" vertical="center" textRotation="90" wrapText="1"/>
      <protection locked="0"/>
    </xf>
    <xf numFmtId="9" fontId="30" fillId="0" borderId="21" xfId="80" applyNumberFormat="1" applyFont="1" applyBorder="1" applyAlignment="1" applyProtection="1">
      <alignment horizontal="center" vertical="center" textRotation="90" wrapText="1"/>
      <protection locked="0"/>
    </xf>
    <xf numFmtId="9" fontId="30" fillId="0" borderId="47" xfId="80" applyNumberFormat="1" applyFont="1" applyBorder="1" applyAlignment="1" applyProtection="1">
      <alignment horizontal="center" vertical="center" textRotation="90" wrapText="1"/>
      <protection locked="0"/>
    </xf>
    <xf numFmtId="167" fontId="26" fillId="0" borderId="21" xfId="65" applyNumberFormat="1" applyFont="1" applyBorder="1" applyAlignment="1" applyProtection="1">
      <alignment horizontal="center" vertical="center" textRotation="90" wrapText="1"/>
      <protection locked="0"/>
    </xf>
    <xf numFmtId="167" fontId="26" fillId="0" borderId="47" xfId="65" applyNumberFormat="1" applyFont="1" applyBorder="1" applyAlignment="1" applyProtection="1">
      <alignment horizontal="center" vertical="center" textRotation="90" wrapText="1"/>
      <protection locked="0"/>
    </xf>
    <xf numFmtId="167" fontId="26" fillId="0" borderId="19" xfId="65" applyNumberFormat="1" applyFont="1" applyBorder="1" applyAlignment="1" applyProtection="1">
      <alignment horizontal="center" vertical="center" textRotation="90" wrapText="1"/>
      <protection locked="0"/>
    </xf>
    <xf numFmtId="167" fontId="25" fillId="0" borderId="33" xfId="80" applyNumberFormat="1" applyFont="1" applyBorder="1" applyAlignment="1" applyProtection="1">
      <alignment horizontal="center" vertical="center" wrapText="1"/>
      <protection locked="0"/>
    </xf>
    <xf numFmtId="167" fontId="25" fillId="0" borderId="38" xfId="80" applyNumberFormat="1" applyFont="1" applyBorder="1" applyAlignment="1" applyProtection="1">
      <alignment horizontal="center" vertical="center" wrapText="1"/>
      <protection locked="0"/>
    </xf>
    <xf numFmtId="167" fontId="25" fillId="0" borderId="48" xfId="80" applyNumberFormat="1" applyFont="1" applyBorder="1" applyAlignment="1" applyProtection="1">
      <alignment horizontal="center" vertical="center" wrapText="1"/>
      <protection locked="0"/>
    </xf>
    <xf numFmtId="167" fontId="25" fillId="0" borderId="29" xfId="80" applyNumberFormat="1" applyFont="1" applyBorder="1" applyAlignment="1" applyProtection="1">
      <alignment horizontal="center" vertical="center" wrapText="1"/>
      <protection locked="0"/>
    </xf>
    <xf numFmtId="167" fontId="25" fillId="0" borderId="49" xfId="80" applyNumberFormat="1" applyFont="1" applyBorder="1" applyAlignment="1" applyProtection="1">
      <alignment horizontal="center" vertical="center" wrapText="1"/>
      <protection locked="0"/>
    </xf>
    <xf numFmtId="167" fontId="25" fillId="0" borderId="37" xfId="80" applyNumberFormat="1" applyFont="1" applyBorder="1" applyAlignment="1" applyProtection="1">
      <alignment horizontal="center" vertical="center" wrapText="1"/>
      <protection locked="0"/>
    </xf>
    <xf numFmtId="10" fontId="18" fillId="0" borderId="21" xfId="63" applyNumberFormat="1" applyBorder="1" applyAlignment="1" applyProtection="1">
      <alignment horizontal="center" vertical="center"/>
      <protection locked="0"/>
    </xf>
    <xf numFmtId="10" fontId="18" fillId="0" borderId="19" xfId="63" applyNumberFormat="1" applyBorder="1" applyAlignment="1" applyProtection="1">
      <alignment horizontal="center" vertical="center"/>
      <protection locked="0"/>
    </xf>
    <xf numFmtId="10" fontId="26" fillId="42" borderId="15" xfId="80" applyNumberFormat="1" applyFont="1" applyFill="1" applyBorder="1" applyAlignment="1" applyProtection="1">
      <alignment horizontal="center" vertical="center" wrapText="1"/>
      <protection locked="0"/>
    </xf>
    <xf numFmtId="42" fontId="23" fillId="0" borderId="51" xfId="81" applyFont="1" applyFill="1" applyBorder="1" applyAlignment="1" applyProtection="1">
      <alignment horizontal="center" vertical="center" wrapText="1"/>
      <protection locked="0"/>
    </xf>
    <xf numFmtId="42" fontId="23" fillId="0" borderId="17" xfId="81" applyFont="1" applyFill="1" applyBorder="1" applyAlignment="1" applyProtection="1">
      <alignment horizontal="center" vertical="center" wrapText="1"/>
      <protection locked="0"/>
    </xf>
    <xf numFmtId="42" fontId="23" fillId="0" borderId="34" xfId="81" applyFont="1" applyFill="1" applyBorder="1" applyAlignment="1" applyProtection="1">
      <alignment horizontal="center" vertical="center" wrapText="1"/>
      <protection locked="0"/>
    </xf>
    <xf numFmtId="189" fontId="23" fillId="0" borderId="15" xfId="83" applyNumberFormat="1" applyFont="1" applyFill="1" applyBorder="1" applyAlignment="1" applyProtection="1">
      <alignment horizontal="center" vertical="center"/>
      <protection locked="0"/>
    </xf>
    <xf numFmtId="167" fontId="23" fillId="0" borderId="15" xfId="80" applyNumberFormat="1" applyFont="1" applyBorder="1" applyAlignment="1" applyProtection="1">
      <alignment horizontal="center" vertical="center" wrapText="1"/>
      <protection locked="0"/>
    </xf>
    <xf numFmtId="167" fontId="69" fillId="42" borderId="15" xfId="80" applyNumberFormat="1" applyFont="1" applyFill="1" applyBorder="1" applyAlignment="1" applyProtection="1">
      <alignment horizontal="center" vertical="center"/>
      <protection locked="0"/>
    </xf>
    <xf numFmtId="10" fontId="26" fillId="42" borderId="33" xfId="80" applyNumberFormat="1" applyFont="1" applyFill="1" applyBorder="1" applyAlignment="1" applyProtection="1">
      <alignment horizontal="center" vertical="center" wrapText="1"/>
      <protection locked="0"/>
    </xf>
    <xf numFmtId="10" fontId="26" fillId="42" borderId="61" xfId="80" applyNumberFormat="1" applyFont="1" applyFill="1" applyBorder="1" applyAlignment="1" applyProtection="1">
      <alignment horizontal="center" vertical="center" wrapText="1"/>
      <protection locked="0"/>
    </xf>
    <xf numFmtId="10" fontId="26" fillId="42" borderId="38" xfId="80" applyNumberFormat="1" applyFont="1" applyFill="1" applyBorder="1" applyAlignment="1" applyProtection="1">
      <alignment horizontal="center" vertical="center" wrapText="1"/>
      <protection locked="0"/>
    </xf>
    <xf numFmtId="10" fontId="26" fillId="42" borderId="49" xfId="80" applyNumberFormat="1" applyFont="1" applyFill="1" applyBorder="1" applyAlignment="1" applyProtection="1">
      <alignment horizontal="center" vertical="center" wrapText="1"/>
      <protection locked="0"/>
    </xf>
    <xf numFmtId="10" fontId="26" fillId="42" borderId="14" xfId="80" applyNumberFormat="1" applyFont="1" applyFill="1" applyBorder="1" applyAlignment="1" applyProtection="1">
      <alignment horizontal="center" vertical="center" wrapText="1"/>
      <protection locked="0"/>
    </xf>
    <xf numFmtId="10" fontId="26" fillId="42" borderId="37" xfId="80" applyNumberFormat="1" applyFont="1" applyFill="1" applyBorder="1" applyAlignment="1" applyProtection="1">
      <alignment horizontal="center" vertical="center" wrapText="1"/>
      <protection locked="0"/>
    </xf>
    <xf numFmtId="189" fontId="79" fillId="0" borderId="15" xfId="83" applyNumberFormat="1" applyFont="1" applyFill="1" applyBorder="1" applyAlignment="1" applyProtection="1">
      <alignment horizontal="center" vertical="center"/>
      <protection locked="0"/>
    </xf>
    <xf numFmtId="167" fontId="26" fillId="0" borderId="15" xfId="80" applyNumberFormat="1" applyFont="1" applyBorder="1" applyAlignment="1" applyProtection="1">
      <alignment horizontal="left" vertical="center" wrapText="1"/>
      <protection locked="0"/>
    </xf>
    <xf numFmtId="42" fontId="23" fillId="0" borderId="15" xfId="81" applyFont="1" applyFill="1" applyBorder="1" applyAlignment="1" applyProtection="1">
      <alignment horizontal="center" vertical="center" wrapText="1"/>
      <protection locked="0"/>
    </xf>
    <xf numFmtId="9" fontId="23" fillId="0" borderId="15" xfId="83" applyFont="1" applyFill="1" applyBorder="1" applyAlignment="1" applyProtection="1">
      <alignment horizontal="center" vertical="center"/>
      <protection locked="0"/>
    </xf>
    <xf numFmtId="9" fontId="79" fillId="0" borderId="15" xfId="83" applyFont="1" applyFill="1" applyBorder="1" applyAlignment="1" applyProtection="1">
      <alignment horizontal="center" vertical="center"/>
      <protection locked="0"/>
    </xf>
    <xf numFmtId="42" fontId="23" fillId="0" borderId="15" xfId="81" applyFont="1" applyFill="1" applyBorder="1" applyAlignment="1" applyProtection="1">
      <alignment horizontal="center" vertical="center"/>
      <protection locked="0"/>
    </xf>
    <xf numFmtId="0" fontId="156" fillId="0" borderId="15" xfId="87" applyFont="1" applyBorder="1" applyAlignment="1">
      <alignment horizontal="center" vertical="center" wrapText="1"/>
    </xf>
    <xf numFmtId="0" fontId="155" fillId="0" borderId="15" xfId="87" applyFont="1" applyBorder="1" applyAlignment="1">
      <alignment horizontal="left" vertical="center"/>
    </xf>
    <xf numFmtId="173" fontId="153" fillId="0" borderId="15" xfId="90" applyNumberFormat="1" applyFont="1" applyBorder="1" applyAlignment="1">
      <alignment horizontal="center" vertical="center"/>
    </xf>
    <xf numFmtId="178" fontId="150" fillId="0" borderId="15" xfId="90" applyFont="1" applyBorder="1" applyAlignment="1">
      <alignment horizontal="left" vertical="center" wrapText="1"/>
    </xf>
    <xf numFmtId="0" fontId="154" fillId="0" borderId="15" xfId="90" applyNumberFormat="1" applyFont="1" applyBorder="1" applyAlignment="1">
      <alignment horizontal="center" vertical="center"/>
    </xf>
    <xf numFmtId="189" fontId="154" fillId="0" borderId="15" xfId="93" applyNumberFormat="1" applyFont="1" applyFill="1" applyBorder="1" applyAlignment="1">
      <alignment horizontal="center" vertical="center"/>
    </xf>
    <xf numFmtId="1" fontId="149" fillId="50" borderId="15" xfId="90" applyNumberFormat="1" applyFont="1" applyFill="1" applyBorder="1" applyAlignment="1">
      <alignment horizontal="center" vertical="center"/>
    </xf>
    <xf numFmtId="178" fontId="149" fillId="51" borderId="15" xfId="90" applyFont="1" applyFill="1" applyBorder="1" applyAlignment="1">
      <alignment horizontal="center" vertical="center"/>
    </xf>
    <xf numFmtId="178" fontId="149" fillId="50" borderId="15" xfId="90" applyFont="1" applyFill="1" applyBorder="1" applyAlignment="1">
      <alignment horizontal="center" vertical="center" wrapText="1"/>
    </xf>
    <xf numFmtId="178" fontId="149" fillId="0" borderId="15" xfId="90" applyFont="1" applyBorder="1" applyAlignment="1">
      <alignment horizontal="left" vertical="center" wrapText="1"/>
    </xf>
    <xf numFmtId="178" fontId="153" fillId="0" borderId="15" xfId="90" applyFont="1" applyBorder="1" applyAlignment="1">
      <alignment horizontal="left" vertical="center" wrapText="1"/>
    </xf>
    <xf numFmtId="202" fontId="155" fillId="0" borderId="15" xfId="87" applyNumberFormat="1" applyFont="1" applyBorder="1" applyAlignment="1">
      <alignment horizontal="center" vertical="center" wrapText="1"/>
    </xf>
    <xf numFmtId="189" fontId="155" fillId="0" borderId="15" xfId="51" applyNumberFormat="1" applyFont="1" applyBorder="1" applyAlignment="1">
      <alignment horizontal="center" vertical="center"/>
    </xf>
    <xf numFmtId="178" fontId="149" fillId="34" borderId="19" xfId="90" applyFont="1" applyFill="1" applyBorder="1" applyAlignment="1">
      <alignment horizontal="left" vertical="center" wrapText="1"/>
    </xf>
    <xf numFmtId="178" fontId="149" fillId="34" borderId="15" xfId="90" applyFont="1" applyFill="1" applyBorder="1" applyAlignment="1">
      <alignment horizontal="left" vertical="center" wrapText="1"/>
    </xf>
    <xf numFmtId="201" fontId="155" fillId="0" borderId="15" xfId="87" applyNumberFormat="1" applyFont="1" applyBorder="1" applyAlignment="1">
      <alignment horizontal="center" vertical="center" wrapText="1"/>
    </xf>
    <xf numFmtId="203" fontId="155" fillId="0" borderId="15" xfId="87" applyNumberFormat="1" applyFont="1" applyBorder="1" applyAlignment="1">
      <alignment horizontal="center" vertical="center" wrapText="1"/>
    </xf>
    <xf numFmtId="0" fontId="155" fillId="0" borderId="15" xfId="87" applyFont="1" applyBorder="1" applyAlignment="1">
      <alignment horizontal="left" vertical="center" wrapText="1"/>
    </xf>
    <xf numFmtId="210" fontId="155" fillId="0" borderId="15" xfId="87" applyNumberFormat="1" applyFont="1" applyBorder="1" applyAlignment="1">
      <alignment horizontal="center" vertical="center"/>
    </xf>
    <xf numFmtId="178" fontId="150" fillId="50" borderId="15" xfId="90" applyFont="1" applyFill="1" applyBorder="1" applyAlignment="1">
      <alignment horizontal="center" vertical="center" wrapText="1"/>
    </xf>
    <xf numFmtId="178" fontId="149" fillId="46" borderId="15" xfId="90" applyFont="1" applyFill="1" applyBorder="1" applyAlignment="1">
      <alignment horizontal="center" vertical="center" wrapText="1"/>
    </xf>
    <xf numFmtId="0" fontId="155" fillId="45" borderId="15" xfId="87" applyFont="1" applyFill="1" applyBorder="1" applyAlignment="1">
      <alignment horizontal="center" vertical="center"/>
    </xf>
    <xf numFmtId="0" fontId="155" fillId="45" borderId="15" xfId="87" applyFont="1" applyFill="1" applyBorder="1" applyAlignment="1">
      <alignment horizontal="center" vertical="center" wrapText="1"/>
    </xf>
    <xf numFmtId="2" fontId="147" fillId="0" borderId="0" xfId="88" applyNumberFormat="1" applyFont="1" applyAlignment="1">
      <alignment horizontal="left" vertical="center" wrapText="1"/>
    </xf>
    <xf numFmtId="0" fontId="140" fillId="0" borderId="0" xfId="87" applyFont="1" applyAlignment="1">
      <alignment horizontal="left" vertical="center" wrapText="1"/>
    </xf>
    <xf numFmtId="0" fontId="144" fillId="0" borderId="0" xfId="89" applyFont="1" applyAlignment="1">
      <alignment horizontal="left" vertical="center"/>
    </xf>
    <xf numFmtId="0" fontId="155" fillId="50" borderId="15" xfId="87" applyFont="1" applyFill="1" applyBorder="1" applyAlignment="1">
      <alignment horizontal="center" vertical="center"/>
    </xf>
    <xf numFmtId="14" fontId="140" fillId="0" borderId="0" xfId="98" applyNumberFormat="1" applyFont="1" applyAlignment="1">
      <alignment horizontal="left" vertical="center"/>
    </xf>
    <xf numFmtId="0" fontId="140" fillId="0" borderId="0" xfId="98" applyFont="1" applyAlignment="1">
      <alignment horizontal="left" vertical="center"/>
    </xf>
    <xf numFmtId="178" fontId="149" fillId="46" borderId="15" xfId="90" applyFont="1" applyFill="1" applyBorder="1" applyAlignment="1">
      <alignment horizontal="center" vertical="center"/>
    </xf>
    <xf numFmtId="178" fontId="154" fillId="45" borderId="15" xfId="90" applyFont="1" applyFill="1" applyBorder="1" applyAlignment="1">
      <alignment horizontal="center" vertical="center" wrapText="1"/>
    </xf>
    <xf numFmtId="178" fontId="187" fillId="0" borderId="15" xfId="90" applyFont="1" applyBorder="1" applyAlignment="1">
      <alignment horizontal="center" vertical="center"/>
    </xf>
    <xf numFmtId="0" fontId="162" fillId="0" borderId="0" xfId="63" applyFont="1" applyAlignment="1" applyProtection="1">
      <alignment horizontal="justify" vertical="justify" wrapText="1"/>
      <protection locked="0"/>
    </xf>
    <xf numFmtId="178" fontId="162" fillId="0" borderId="0" xfId="90" applyFont="1" applyAlignment="1">
      <alignment horizontal="justify" vertical="center" wrapText="1"/>
    </xf>
    <xf numFmtId="2" fontId="162" fillId="0" borderId="0" xfId="90" applyNumberFormat="1" applyFont="1" applyAlignment="1" applyProtection="1">
      <alignment horizontal="justify" vertical="top" wrapText="1"/>
      <protection locked="0"/>
    </xf>
    <xf numFmtId="178" fontId="162" fillId="0" borderId="0" xfId="90" applyFont="1" applyAlignment="1">
      <alignment horizontal="left" vertical="center" wrapText="1"/>
    </xf>
    <xf numFmtId="2" fontId="162" fillId="0" borderId="0" xfId="90" applyNumberFormat="1" applyFont="1" applyAlignment="1" applyProtection="1">
      <alignment horizontal="justify" vertical="top"/>
      <protection locked="0"/>
    </xf>
    <xf numFmtId="0" fontId="162" fillId="0" borderId="0" xfId="88" applyFont="1" applyAlignment="1">
      <alignment horizontal="justify" vertical="top" wrapText="1"/>
    </xf>
    <xf numFmtId="178" fontId="162" fillId="0" borderId="0" xfId="90" applyFont="1" applyAlignment="1">
      <alignment horizontal="justify" vertical="center"/>
    </xf>
    <xf numFmtId="178" fontId="162" fillId="0" borderId="0" xfId="90" applyFont="1" applyAlignment="1">
      <alignment horizontal="justify" vertical="top" wrapText="1"/>
    </xf>
    <xf numFmtId="178" fontId="162" fillId="0" borderId="0" xfId="90" applyFont="1" applyAlignment="1">
      <alignment horizontal="justify" vertical="top"/>
    </xf>
    <xf numFmtId="0" fontId="162" fillId="31" borderId="0" xfId="63" applyFont="1" applyFill="1" applyAlignment="1" applyProtection="1">
      <alignment horizontal="left" vertical="top" wrapText="1"/>
      <protection locked="0"/>
    </xf>
    <xf numFmtId="0" fontId="162" fillId="31" borderId="0" xfId="63" applyFont="1" applyFill="1" applyAlignment="1" applyProtection="1">
      <alignment horizontal="left" vertical="top"/>
      <protection locked="0"/>
    </xf>
    <xf numFmtId="0" fontId="162" fillId="31" borderId="0" xfId="63" applyFont="1" applyFill="1" applyAlignment="1" applyProtection="1">
      <alignment horizontal="left" vertical="center"/>
      <protection locked="0"/>
    </xf>
    <xf numFmtId="0" fontId="159" fillId="0" borderId="0" xfId="63" applyFont="1" applyAlignment="1" applyProtection="1">
      <alignment horizontal="justify" vertical="justify" wrapText="1"/>
      <protection locked="0"/>
    </xf>
    <xf numFmtId="0" fontId="0" fillId="0" borderId="0" xfId="0" applyAlignment="1">
      <alignment horizontal="justify" vertical="top" wrapText="1"/>
    </xf>
    <xf numFmtId="49" fontId="146" fillId="0" borderId="0" xfId="63" applyNumberFormat="1" applyFont="1" applyAlignment="1">
      <alignment horizontal="left" vertical="center" wrapText="1"/>
    </xf>
    <xf numFmtId="0" fontId="146" fillId="0" borderId="0" xfId="63" applyFont="1" applyAlignment="1">
      <alignment horizontal="left" vertical="center" wrapText="1"/>
    </xf>
    <xf numFmtId="0" fontId="144" fillId="0" borderId="0" xfId="63" applyFont="1" applyAlignment="1">
      <alignment horizontal="left" vertical="center" wrapText="1"/>
    </xf>
    <xf numFmtId="0" fontId="178" fillId="0" borderId="0" xfId="87" applyFont="1" applyAlignment="1">
      <alignment horizontal="justify" vertical="top" wrapText="1"/>
    </xf>
    <xf numFmtId="9" fontId="172" fillId="0" borderId="0" xfId="93" applyFont="1" applyFill="1" applyBorder="1" applyAlignment="1">
      <alignment horizontal="center" vertical="center"/>
    </xf>
    <xf numFmtId="178" fontId="162" fillId="0" borderId="0" xfId="90" applyFont="1" applyAlignment="1">
      <alignment horizontal="left" vertical="center"/>
    </xf>
    <xf numFmtId="0" fontId="25" fillId="27" borderId="15" xfId="0" applyFont="1" applyFill="1" applyBorder="1" applyAlignment="1">
      <alignment horizontal="center" vertical="center"/>
    </xf>
    <xf numFmtId="0" fontId="25" fillId="0" borderId="15" xfId="0" applyFont="1" applyBorder="1" applyAlignment="1">
      <alignment horizontal="center"/>
    </xf>
    <xf numFmtId="9" fontId="25" fillId="0" borderId="15" xfId="51" applyFont="1" applyBorder="1" applyAlignment="1">
      <alignment horizontal="center"/>
    </xf>
    <xf numFmtId="0" fontId="25" fillId="27" borderId="21" xfId="0" applyFont="1" applyFill="1" applyBorder="1" applyAlignment="1">
      <alignment horizontal="center" vertical="center"/>
    </xf>
    <xf numFmtId="0" fontId="25" fillId="0" borderId="15" xfId="0" applyFont="1" applyBorder="1" applyAlignment="1">
      <alignment horizontal="center" vertical="center" wrapText="1"/>
    </xf>
    <xf numFmtId="0" fontId="133" fillId="0" borderId="21" xfId="87" applyFont="1" applyBorder="1" applyAlignment="1">
      <alignment horizontal="center" vertical="center" wrapText="1"/>
    </xf>
    <xf numFmtId="0" fontId="133" fillId="0" borderId="47" xfId="87" applyFont="1" applyBorder="1" applyAlignment="1">
      <alignment horizontal="center" vertical="center" wrapText="1"/>
    </xf>
    <xf numFmtId="0" fontId="133" fillId="0" borderId="19" xfId="87" applyFont="1" applyBorder="1" applyAlignment="1">
      <alignment horizontal="center" vertical="center" wrapText="1"/>
    </xf>
    <xf numFmtId="0" fontId="134" fillId="0" borderId="15" xfId="87" applyFont="1" applyBorder="1" applyAlignment="1">
      <alignment horizontal="left" vertical="center"/>
    </xf>
    <xf numFmtId="0" fontId="134" fillId="0" borderId="51" xfId="87" applyFont="1" applyBorder="1" applyAlignment="1">
      <alignment horizontal="center" vertical="center"/>
    </xf>
    <xf numFmtId="0" fontId="134" fillId="0" borderId="34" xfId="87" applyFont="1" applyBorder="1" applyAlignment="1">
      <alignment horizontal="center" vertical="center"/>
    </xf>
    <xf numFmtId="0" fontId="137" fillId="0" borderId="51" xfId="87" applyFont="1" applyBorder="1" applyAlignment="1">
      <alignment horizontal="center" vertical="center"/>
    </xf>
    <xf numFmtId="0" fontId="137" fillId="0" borderId="34" xfId="87" applyFont="1" applyBorder="1" applyAlignment="1">
      <alignment horizontal="center" vertical="center"/>
    </xf>
    <xf numFmtId="0" fontId="133" fillId="0" borderId="17" xfId="87" applyFont="1" applyBorder="1" applyAlignment="1" applyProtection="1">
      <alignment horizontal="center" vertical="center"/>
      <protection locked="0"/>
    </xf>
    <xf numFmtId="0" fontId="133" fillId="0" borderId="34" xfId="87" applyFont="1" applyBorder="1" applyAlignment="1" applyProtection="1">
      <alignment horizontal="center" vertical="center"/>
      <protection locked="0"/>
    </xf>
    <xf numFmtId="0" fontId="133" fillId="0" borderId="21" xfId="87" applyFont="1" applyBorder="1" applyAlignment="1">
      <alignment horizontal="center" vertical="center"/>
    </xf>
    <xf numFmtId="0" fontId="133" fillId="0" borderId="47" xfId="87" applyFont="1" applyBorder="1" applyAlignment="1">
      <alignment horizontal="center" vertical="center"/>
    </xf>
    <xf numFmtId="0" fontId="133" fillId="0" borderId="51" xfId="87" applyFont="1" applyBorder="1" applyAlignment="1">
      <alignment horizontal="center" vertical="center"/>
    </xf>
    <xf numFmtId="0" fontId="133" fillId="0" borderId="34" xfId="87" applyFont="1" applyBorder="1" applyAlignment="1">
      <alignment horizontal="center" vertical="center"/>
    </xf>
    <xf numFmtId="0" fontId="133" fillId="0" borderId="51" xfId="87" applyFont="1" applyBorder="1" applyAlignment="1" applyProtection="1">
      <alignment horizontal="center" vertical="center"/>
      <protection locked="0"/>
    </xf>
    <xf numFmtId="0" fontId="134" fillId="0" borderId="15" xfId="87" applyFont="1" applyBorder="1" applyAlignment="1">
      <alignment horizontal="center" vertical="center"/>
    </xf>
    <xf numFmtId="0" fontId="134" fillId="0" borderId="15" xfId="87" applyFont="1" applyBorder="1" applyAlignment="1">
      <alignment horizontal="center" vertical="center" wrapText="1"/>
    </xf>
    <xf numFmtId="0" fontId="134" fillId="0" borderId="15" xfId="87" applyFont="1" applyBorder="1" applyAlignment="1">
      <alignment vertical="center"/>
    </xf>
    <xf numFmtId="0" fontId="134" fillId="0" borderId="0" xfId="87" applyFont="1" applyAlignment="1">
      <alignment vertical="center"/>
    </xf>
    <xf numFmtId="0" fontId="133" fillId="0" borderId="33" xfId="87" applyFont="1" applyBorder="1" applyAlignment="1">
      <alignment horizontal="left" wrapText="1"/>
    </xf>
    <xf numFmtId="0" fontId="133" fillId="0" borderId="61" xfId="87" applyFont="1" applyBorder="1" applyAlignment="1">
      <alignment horizontal="left" wrapText="1"/>
    </xf>
    <xf numFmtId="0" fontId="134" fillId="0" borderId="17" xfId="87" applyFont="1" applyBorder="1" applyAlignment="1">
      <alignment horizontal="center" vertical="center"/>
    </xf>
    <xf numFmtId="1" fontId="133" fillId="0" borderId="21" xfId="87" applyNumberFormat="1" applyFont="1" applyBorder="1" applyAlignment="1">
      <alignment horizontal="center" vertical="center"/>
    </xf>
    <xf numFmtId="173" fontId="133" fillId="0" borderId="21" xfId="87" applyNumberFormat="1" applyFont="1" applyBorder="1" applyAlignment="1">
      <alignment horizontal="center" vertical="center"/>
    </xf>
    <xf numFmtId="173" fontId="133" fillId="0" borderId="47" xfId="87" applyNumberFormat="1" applyFont="1" applyBorder="1" applyAlignment="1">
      <alignment horizontal="center" vertical="center"/>
    </xf>
    <xf numFmtId="0" fontId="13" fillId="0" borderId="51" xfId="97" applyBorder="1" applyAlignment="1">
      <alignment horizontal="center"/>
    </xf>
    <xf numFmtId="0" fontId="13" fillId="0" borderId="17" xfId="97" applyBorder="1" applyAlignment="1">
      <alignment horizontal="center"/>
    </xf>
    <xf numFmtId="0" fontId="13" fillId="0" borderId="34" xfId="97" applyBorder="1" applyAlignment="1">
      <alignment horizontal="center"/>
    </xf>
    <xf numFmtId="0" fontId="13" fillId="0" borderId="33" xfId="97" applyBorder="1" applyAlignment="1">
      <alignment horizontal="center"/>
    </xf>
    <xf numFmtId="0" fontId="13" fillId="0" borderId="61" xfId="97" applyBorder="1" applyAlignment="1">
      <alignment horizontal="center"/>
    </xf>
    <xf numFmtId="0" fontId="13" fillId="0" borderId="38" xfId="97" applyBorder="1" applyAlignment="1">
      <alignment horizontal="center"/>
    </xf>
    <xf numFmtId="0" fontId="6" fillId="0" borderId="15" xfId="87" applyFont="1" applyBorder="1" applyAlignment="1">
      <alignment horizontal="center"/>
    </xf>
    <xf numFmtId="0" fontId="14" fillId="0" borderId="15" xfId="87" applyBorder="1" applyAlignment="1">
      <alignment horizontal="center"/>
    </xf>
    <xf numFmtId="0" fontId="103" fillId="0" borderId="15" xfId="87" applyFont="1" applyBorder="1" applyAlignment="1">
      <alignment horizontal="center" vertical="center"/>
    </xf>
    <xf numFmtId="0" fontId="139" fillId="49" borderId="15" xfId="87" applyFont="1" applyFill="1" applyBorder="1" applyAlignment="1">
      <alignment horizontal="center"/>
    </xf>
    <xf numFmtId="1" fontId="180" fillId="0" borderId="51" xfId="0" applyNumberFormat="1" applyFont="1" applyBorder="1" applyAlignment="1">
      <alignment horizontal="center" vertical="center" wrapText="1"/>
    </xf>
    <xf numFmtId="1" fontId="180" fillId="0" borderId="17" xfId="0" applyNumberFormat="1" applyFont="1" applyBorder="1" applyAlignment="1">
      <alignment horizontal="center" vertical="center" wrapText="1"/>
    </xf>
    <xf numFmtId="1" fontId="180" fillId="0" borderId="34" xfId="0" applyNumberFormat="1" applyFont="1" applyBorder="1" applyAlignment="1">
      <alignment horizontal="center" vertical="center" wrapText="1"/>
    </xf>
    <xf numFmtId="0" fontId="180" fillId="0" borderId="105" xfId="0" applyFont="1" applyBorder="1" applyAlignment="1">
      <alignment horizontal="center" vertical="center"/>
    </xf>
    <xf numFmtId="0" fontId="180" fillId="0" borderId="106" xfId="0" applyFont="1" applyBorder="1" applyAlignment="1">
      <alignment horizontal="center" vertical="center"/>
    </xf>
    <xf numFmtId="0" fontId="180" fillId="0" borderId="107" xfId="0" applyFont="1" applyBorder="1" applyAlignment="1">
      <alignment horizontal="center" vertical="center"/>
    </xf>
    <xf numFmtId="0" fontId="181" fillId="52" borderId="26" xfId="0" applyFont="1" applyFill="1" applyBorder="1" applyAlignment="1">
      <alignment horizontal="center" vertical="center"/>
    </xf>
    <xf numFmtId="0" fontId="181" fillId="52" borderId="46" xfId="0" applyFont="1" applyFill="1" applyBorder="1" applyAlignment="1">
      <alignment horizontal="center" vertical="center"/>
    </xf>
    <xf numFmtId="0" fontId="181" fillId="52" borderId="59" xfId="0" applyFont="1" applyFill="1" applyBorder="1" applyAlignment="1">
      <alignment horizontal="center" vertical="center"/>
    </xf>
    <xf numFmtId="0" fontId="181" fillId="53" borderId="26" xfId="0" applyFont="1" applyFill="1" applyBorder="1" applyAlignment="1">
      <alignment horizontal="center" vertical="center"/>
    </xf>
    <xf numFmtId="0" fontId="181" fillId="53" borderId="46" xfId="0" applyFont="1" applyFill="1" applyBorder="1" applyAlignment="1">
      <alignment horizontal="center" vertical="center"/>
    </xf>
    <xf numFmtId="0" fontId="181" fillId="53" borderId="59" xfId="0" applyFont="1" applyFill="1" applyBorder="1" applyAlignment="1">
      <alignment horizontal="center" vertical="center"/>
    </xf>
    <xf numFmtId="0" fontId="181" fillId="54" borderId="26" xfId="0" applyFont="1" applyFill="1" applyBorder="1" applyAlignment="1">
      <alignment horizontal="center" vertical="center"/>
    </xf>
    <xf numFmtId="0" fontId="181" fillId="54" borderId="46" xfId="0" applyFont="1" applyFill="1" applyBorder="1" applyAlignment="1">
      <alignment horizontal="center" vertical="center"/>
    </xf>
    <xf numFmtId="0" fontId="181" fillId="54" borderId="59" xfId="0" applyFont="1" applyFill="1" applyBorder="1" applyAlignment="1">
      <alignment horizontal="center" vertical="center"/>
    </xf>
    <xf numFmtId="0" fontId="181" fillId="55" borderId="105" xfId="0" applyFont="1" applyFill="1" applyBorder="1" applyAlignment="1">
      <alignment horizontal="center" vertical="center" wrapText="1"/>
    </xf>
    <xf numFmtId="0" fontId="181" fillId="55" borderId="107" xfId="0" applyFont="1" applyFill="1" applyBorder="1" applyAlignment="1">
      <alignment horizontal="center" vertical="center" wrapText="1"/>
    </xf>
    <xf numFmtId="0" fontId="181" fillId="56" borderId="105" xfId="0" applyFont="1" applyFill="1" applyBorder="1" applyAlignment="1">
      <alignment horizontal="center" vertical="center" wrapText="1"/>
    </xf>
    <xf numFmtId="0" fontId="181" fillId="56" borderId="107" xfId="0" applyFont="1" applyFill="1" applyBorder="1" applyAlignment="1">
      <alignment horizontal="center" vertical="center" wrapText="1"/>
    </xf>
    <xf numFmtId="0" fontId="181" fillId="57" borderId="105" xfId="0" applyFont="1" applyFill="1" applyBorder="1" applyAlignment="1">
      <alignment horizontal="center" vertical="center" wrapText="1"/>
    </xf>
    <xf numFmtId="0" fontId="181" fillId="57" borderId="107" xfId="0" applyFont="1" applyFill="1" applyBorder="1" applyAlignment="1">
      <alignment horizontal="center" vertical="center" wrapText="1"/>
    </xf>
    <xf numFmtId="0" fontId="186" fillId="0" borderId="105" xfId="0" applyFont="1" applyBorder="1" applyAlignment="1">
      <alignment vertical="center"/>
    </xf>
    <xf numFmtId="0" fontId="186" fillId="0" borderId="106" xfId="0" applyFont="1" applyBorder="1" applyAlignment="1">
      <alignment vertical="center"/>
    </xf>
    <xf numFmtId="0" fontId="186" fillId="0" borderId="107" xfId="0" applyFont="1" applyBorder="1" applyAlignment="1">
      <alignment vertical="center"/>
    </xf>
    <xf numFmtId="0" fontId="182" fillId="0" borderId="13" xfId="0" applyFont="1" applyBorder="1" applyAlignment="1">
      <alignment horizontal="center" vertical="center"/>
    </xf>
    <xf numFmtId="0" fontId="183" fillId="36" borderId="26" xfId="0" applyFont="1" applyFill="1" applyBorder="1" applyAlignment="1">
      <alignment horizontal="center" vertical="center"/>
    </xf>
    <xf numFmtId="0" fontId="183" fillId="36" borderId="46" xfId="0" applyFont="1" applyFill="1" applyBorder="1" applyAlignment="1">
      <alignment horizontal="center" vertical="center"/>
    </xf>
    <xf numFmtId="0" fontId="183" fillId="36" borderId="108" xfId="0" applyFont="1" applyFill="1" applyBorder="1" applyAlignment="1">
      <alignment horizontal="center" vertical="center"/>
    </xf>
    <xf numFmtId="0" fontId="24" fillId="0" borderId="15" xfId="78" applyFont="1" applyBorder="1" applyAlignment="1">
      <alignment horizontal="center" vertical="center" wrapText="1"/>
    </xf>
    <xf numFmtId="0" fontId="0" fillId="0" borderId="12" xfId="48" applyFont="1" applyBorder="1" applyAlignment="1">
      <alignment horizontal="center" vertical="top" wrapText="1"/>
    </xf>
    <xf numFmtId="0" fontId="0" fillId="0" borderId="0" xfId="48" applyFont="1" applyAlignment="1">
      <alignment horizontal="center" vertical="top" wrapText="1"/>
    </xf>
    <xf numFmtId="0" fontId="53" fillId="0" borderId="58" xfId="48" applyFont="1" applyBorder="1" applyAlignment="1">
      <alignment horizontal="center" vertical="top"/>
    </xf>
    <xf numFmtId="0" fontId="53" fillId="0" borderId="16" xfId="48" applyFont="1" applyBorder="1" applyAlignment="1">
      <alignment horizontal="center" vertical="top"/>
    </xf>
    <xf numFmtId="0" fontId="53" fillId="0" borderId="57" xfId="48" applyFont="1" applyBorder="1" applyAlignment="1">
      <alignment horizontal="center" vertical="top"/>
    </xf>
    <xf numFmtId="0" fontId="54" fillId="0" borderId="19" xfId="48" applyFont="1" applyBorder="1" applyAlignment="1">
      <alignment horizontal="center" vertical="top"/>
    </xf>
    <xf numFmtId="0" fontId="54" fillId="0" borderId="15" xfId="48" applyFont="1" applyBorder="1" applyAlignment="1">
      <alignment horizontal="center" vertical="top"/>
    </xf>
    <xf numFmtId="0" fontId="54" fillId="0" borderId="20" xfId="48" applyFont="1" applyBorder="1" applyAlignment="1">
      <alignment horizontal="center" vertical="top"/>
    </xf>
    <xf numFmtId="0" fontId="54" fillId="0" borderId="22" xfId="48" applyFont="1" applyBorder="1" applyAlignment="1">
      <alignment horizontal="center" vertical="top"/>
    </xf>
    <xf numFmtId="0" fontId="55" fillId="0" borderId="19" xfId="48" applyFont="1" applyBorder="1" applyAlignment="1">
      <alignment horizontal="center" vertical="top"/>
    </xf>
    <xf numFmtId="0" fontId="55" fillId="0" borderId="15" xfId="48" applyFont="1" applyBorder="1" applyAlignment="1">
      <alignment horizontal="center" vertical="top"/>
    </xf>
    <xf numFmtId="0" fontId="55" fillId="0" borderId="20" xfId="48" applyFont="1" applyBorder="1" applyAlignment="1">
      <alignment horizontal="center" vertical="top"/>
    </xf>
    <xf numFmtId="0" fontId="54" fillId="0" borderId="21" xfId="48" applyFont="1" applyBorder="1" applyAlignment="1">
      <alignment horizontal="center" vertical="top"/>
    </xf>
    <xf numFmtId="0" fontId="53" fillId="0" borderId="22" xfId="48" applyFont="1" applyBorder="1" applyAlignment="1">
      <alignment horizontal="center" vertical="top"/>
    </xf>
    <xf numFmtId="0" fontId="53" fillId="0" borderId="23" xfId="48" applyFont="1" applyBorder="1" applyAlignment="1">
      <alignment horizontal="center" vertical="top"/>
    </xf>
    <xf numFmtId="0" fontId="53" fillId="0" borderId="22" xfId="48" applyFont="1" applyBorder="1" applyAlignment="1">
      <alignment horizontal="center" vertical="top" wrapText="1"/>
    </xf>
    <xf numFmtId="0" fontId="53" fillId="0" borderId="21" xfId="48" applyFont="1" applyBorder="1" applyAlignment="1">
      <alignment horizontal="center" vertical="top" wrapText="1"/>
    </xf>
    <xf numFmtId="0" fontId="53" fillId="0" borderId="10" xfId="48" applyFont="1" applyBorder="1" applyAlignment="1">
      <alignment horizontal="center" vertical="top" wrapText="1"/>
    </xf>
    <xf numFmtId="0" fontId="53" fillId="0" borderId="54" xfId="48" applyFont="1" applyBorder="1" applyAlignment="1">
      <alignment horizontal="center" vertical="top" wrapText="1"/>
    </xf>
    <xf numFmtId="0" fontId="18" fillId="0" borderId="26" xfId="0" applyFont="1" applyBorder="1" applyAlignment="1">
      <alignment horizontal="center"/>
    </xf>
    <xf numFmtId="0" fontId="0" fillId="0" borderId="46" xfId="0" applyBorder="1" applyAlignment="1">
      <alignment horizontal="center"/>
    </xf>
    <xf numFmtId="0" fontId="0" fillId="0" borderId="59" xfId="0" applyBorder="1" applyAlignment="1">
      <alignment horizontal="center"/>
    </xf>
    <xf numFmtId="0" fontId="18" fillId="0" borderId="21" xfId="0" applyFont="1" applyBorder="1" applyAlignment="1">
      <alignment horizontal="center" vertical="center" wrapText="1"/>
    </xf>
    <xf numFmtId="0" fontId="18" fillId="0" borderId="19" xfId="0" applyFont="1" applyBorder="1" applyAlignment="1">
      <alignment horizontal="center" vertical="center" wrapText="1"/>
    </xf>
    <xf numFmtId="0" fontId="67" fillId="0" borderId="0" xfId="0" applyFont="1" applyAlignment="1">
      <alignment horizontal="center"/>
    </xf>
    <xf numFmtId="0" fontId="18" fillId="0" borderId="51" xfId="0" applyFont="1" applyBorder="1" applyAlignment="1">
      <alignment horizontal="center" vertical="center" wrapText="1"/>
    </xf>
    <xf numFmtId="0" fontId="18" fillId="0" borderId="34" xfId="0" applyFont="1" applyBorder="1" applyAlignment="1">
      <alignment horizontal="center" vertical="center" wrapText="1"/>
    </xf>
    <xf numFmtId="0" fontId="18" fillId="0" borderId="0" xfId="0" applyFont="1" applyAlignment="1">
      <alignment horizontal="center" vertical="center"/>
    </xf>
    <xf numFmtId="0" fontId="18" fillId="0" borderId="15" xfId="0" applyFont="1" applyBorder="1" applyAlignment="1">
      <alignment horizontal="center" wrapText="1"/>
    </xf>
    <xf numFmtId="0" fontId="0" fillId="0" borderId="15" xfId="0" applyBorder="1" applyAlignment="1">
      <alignment horizontal="center" wrapText="1"/>
    </xf>
    <xf numFmtId="0" fontId="0" fillId="0" borderId="51" xfId="0" applyBorder="1" applyAlignment="1">
      <alignment horizontal="center" vertical="center" wrapText="1"/>
    </xf>
    <xf numFmtId="0" fontId="0" fillId="0" borderId="17" xfId="0" applyBorder="1" applyAlignment="1">
      <alignment horizontal="center" vertical="center" wrapText="1"/>
    </xf>
    <xf numFmtId="0" fontId="0" fillId="0" borderId="34" xfId="0" applyBorder="1" applyAlignment="1">
      <alignment horizontal="center" vertical="center" wrapText="1"/>
    </xf>
    <xf numFmtId="0" fontId="25" fillId="40" borderId="33" xfId="0" applyFont="1" applyFill="1" applyBorder="1" applyAlignment="1">
      <alignment horizontal="center" vertical="center" wrapText="1"/>
    </xf>
    <xf numFmtId="0" fontId="25" fillId="40" borderId="61" xfId="0" applyFont="1" applyFill="1" applyBorder="1" applyAlignment="1">
      <alignment horizontal="center" vertical="center" wrapText="1"/>
    </xf>
    <xf numFmtId="0" fontId="25" fillId="40" borderId="38" xfId="0" applyFont="1" applyFill="1" applyBorder="1" applyAlignment="1">
      <alignment horizontal="center" vertical="center" wrapText="1"/>
    </xf>
    <xf numFmtId="0" fontId="25" fillId="40" borderId="49" xfId="0" applyFont="1" applyFill="1" applyBorder="1" applyAlignment="1">
      <alignment horizontal="center" vertical="center" wrapText="1"/>
    </xf>
    <xf numFmtId="0" fontId="25" fillId="40" borderId="14" xfId="0" applyFont="1" applyFill="1" applyBorder="1" applyAlignment="1">
      <alignment horizontal="center" vertical="center" wrapText="1"/>
    </xf>
    <xf numFmtId="0" fontId="25" fillId="40" borderId="37" xfId="0" applyFont="1" applyFill="1" applyBorder="1" applyAlignment="1">
      <alignment horizontal="center" vertical="center" wrapText="1"/>
    </xf>
    <xf numFmtId="0" fontId="18" fillId="0" borderId="51" xfId="0" applyFont="1" applyBorder="1" applyAlignment="1">
      <alignment horizontal="center" wrapText="1"/>
    </xf>
    <xf numFmtId="0" fontId="18" fillId="0" borderId="17" xfId="0" applyFont="1" applyBorder="1" applyAlignment="1">
      <alignment horizontal="center" wrapText="1"/>
    </xf>
    <xf numFmtId="0" fontId="18" fillId="0" borderId="34" xfId="0" applyFont="1" applyBorder="1" applyAlignment="1">
      <alignment horizontal="center" wrapText="1"/>
    </xf>
    <xf numFmtId="0" fontId="53" fillId="0" borderId="15" xfId="48" applyFont="1" applyBorder="1" applyAlignment="1">
      <alignment horizontal="center" vertical="top"/>
    </xf>
    <xf numFmtId="0" fontId="53" fillId="0" borderId="15" xfId="48" applyFont="1" applyBorder="1" applyAlignment="1">
      <alignment horizontal="center" vertical="top" wrapText="1"/>
    </xf>
    <xf numFmtId="0" fontId="53" fillId="0" borderId="15" xfId="48" applyFont="1" applyBorder="1" applyAlignment="1">
      <alignment horizontal="left" vertical="top" wrapText="1"/>
    </xf>
  </cellXfs>
  <cellStyles count="106">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abecera 1" xfId="20" xr:uid="{00000000-0005-0000-0000-000013000000}"/>
    <cellStyle name="Cabecera 2" xfId="21" xr:uid="{00000000-0005-0000-0000-000014000000}"/>
    <cellStyle name="Cálculo" xfId="22" builtinId="22" customBuiltin="1"/>
    <cellStyle name="Celda de comprobación" xfId="23" builtinId="23" customBuiltin="1"/>
    <cellStyle name="Celda vinculada" xfId="24" builtinId="24" customBuiltin="1"/>
    <cellStyle name="Comma0" xfId="25" xr:uid="{00000000-0005-0000-0000-000018000000}"/>
    <cellStyle name="Currency [0]_CONSUMOS 2014" xfId="26" xr:uid="{00000000-0005-0000-0000-000019000000}"/>
    <cellStyle name="Currency_CONSUMOS 2014" xfId="27" xr:uid="{00000000-0005-0000-0000-00001A000000}"/>
    <cellStyle name="Currency0" xfId="28" xr:uid="{00000000-0005-0000-0000-00001B000000}"/>
    <cellStyle name="Date" xfId="29" xr:uid="{00000000-0005-0000-0000-00001C000000}"/>
    <cellStyle name="Encabezado 1" xfId="57" builtinId="16" customBuiltin="1"/>
    <cellStyle name="Encabezado 4" xfId="30" builtinId="19" customBuiltin="1"/>
    <cellStyle name="Énfasis1" xfId="31" builtinId="29" customBuiltin="1"/>
    <cellStyle name="Énfasis2" xfId="32" builtinId="33" customBuiltin="1"/>
    <cellStyle name="Énfasis3" xfId="33" builtinId="37" customBuiltin="1"/>
    <cellStyle name="Énfasis4" xfId="34" builtinId="41" customBuiltin="1"/>
    <cellStyle name="Énfasis5" xfId="35" builtinId="45" customBuiltin="1"/>
    <cellStyle name="Énfasis6" xfId="36" builtinId="49" customBuiltin="1"/>
    <cellStyle name="Entrada" xfId="37" builtinId="20" customBuiltin="1"/>
    <cellStyle name="Euro" xfId="38" xr:uid="{00000000-0005-0000-0000-000026000000}"/>
    <cellStyle name="Fecha" xfId="39" xr:uid="{00000000-0005-0000-0000-000027000000}"/>
    <cellStyle name="Fijo" xfId="40" xr:uid="{00000000-0005-0000-0000-000028000000}"/>
    <cellStyle name="Fixed" xfId="41" xr:uid="{00000000-0005-0000-0000-000029000000}"/>
    <cellStyle name="Heading 1" xfId="42" xr:uid="{00000000-0005-0000-0000-00002A000000}"/>
    <cellStyle name="Heading 2" xfId="43" xr:uid="{00000000-0005-0000-0000-00002B000000}"/>
    <cellStyle name="Hipervínculo" xfId="99" builtinId="8"/>
    <cellStyle name="Incorrecto" xfId="44" builtinId="27" customBuiltin="1"/>
    <cellStyle name="Millares 2" xfId="96" xr:uid="{F8521917-9BA6-4DE0-9897-B0F8B6661C6C}"/>
    <cellStyle name="Millares 57" xfId="95" xr:uid="{77F75F36-7B71-453D-84E0-44F5FB2D5260}"/>
    <cellStyle name="Moneda [0]" xfId="84" builtinId="7"/>
    <cellStyle name="Moneda [0] 2" xfId="81" xr:uid="{3E6B7978-5186-4093-85E5-130732195CA4}"/>
    <cellStyle name="Moneda [0] 3" xfId="82" xr:uid="{5950FE63-4344-45A6-B0BC-FF9F48058300}"/>
    <cellStyle name="Monetario0" xfId="45" xr:uid="{00000000-0005-0000-0000-00002D000000}"/>
    <cellStyle name="Neutral" xfId="46" builtinId="28" customBuiltin="1"/>
    <cellStyle name="Normal" xfId="0" builtinId="0"/>
    <cellStyle name="Normal 10" xfId="101" xr:uid="{88E174DF-03C8-4525-ACFA-22CB9E6A1382}"/>
    <cellStyle name="Normal 10 2" xfId="71" xr:uid="{00000000-0005-0000-0000-000030000000}"/>
    <cellStyle name="Normal 10 2 2" xfId="77" xr:uid="{CE648A6E-2694-43FD-B1C7-7726FC26DEA6}"/>
    <cellStyle name="Normal 10 2 3" xfId="92" xr:uid="{A78B9736-514E-4BEE-B434-571D45814E74}"/>
    <cellStyle name="Normal 10 6" xfId="90" xr:uid="{0C74A23B-DB2B-4F39-8A31-3117C39B0C71}"/>
    <cellStyle name="Normal 11" xfId="102" xr:uid="{E6311D08-DC48-43CC-892C-6E1BD73AB052}"/>
    <cellStyle name="Normal 12" xfId="104" xr:uid="{BFE0F49F-4DF1-40B0-9A76-5AF2A6C8D07A}"/>
    <cellStyle name="Normal 17 2" xfId="86" xr:uid="{FECA7808-48F3-4888-85DA-2C24C0ACCC57}"/>
    <cellStyle name="Normal 2" xfId="47" xr:uid="{00000000-0005-0000-0000-000031000000}"/>
    <cellStyle name="Normal 2 2 3 4" xfId="67" xr:uid="{00000000-0005-0000-0000-000032000000}"/>
    <cellStyle name="Normal 2 2 6" xfId="65" xr:uid="{00000000-0005-0000-0000-000033000000}"/>
    <cellStyle name="Normal 2 6 2" xfId="64" xr:uid="{00000000-0005-0000-0000-000034000000}"/>
    <cellStyle name="Normal 2 8 6" xfId="88" xr:uid="{0613EBA4-5BDB-4ED8-AFBE-75A61FFD3D9C}"/>
    <cellStyle name="Normal 23 3" xfId="94" xr:uid="{53A8CA3F-CD92-4490-AE16-D81E3FEBCC0F}"/>
    <cellStyle name="Normal 3" xfId="76" xr:uid="{4D132391-E767-4171-BC0C-F1BF172EA947}"/>
    <cellStyle name="Normal 31" xfId="68" xr:uid="{00000000-0005-0000-0000-000035000000}"/>
    <cellStyle name="Normal 31 2" xfId="75" xr:uid="{00000000-0005-0000-0000-000036000000}"/>
    <cellStyle name="Normal 32" xfId="61" xr:uid="{00000000-0005-0000-0000-000037000000}"/>
    <cellStyle name="Normal 4" xfId="78" xr:uid="{CF13B2F1-FB30-4D75-BA3E-3E6BBD5BC0DC}"/>
    <cellStyle name="Normal 5" xfId="80" xr:uid="{7DBBCCDF-346E-4E07-AA28-7B253CDF8E46}"/>
    <cellStyle name="Normal 5 2 2" xfId="85" xr:uid="{BF26C01E-0E59-44EC-81C5-7A2400D47827}"/>
    <cellStyle name="Normal 6" xfId="87" xr:uid="{F7F3CEB2-0DD8-470F-A7E6-FC3DE2EB050C}"/>
    <cellStyle name="Normal 6 2" xfId="72" xr:uid="{00000000-0005-0000-0000-000038000000}"/>
    <cellStyle name="Normal 7" xfId="97" xr:uid="{C8DE7F89-1713-4B9A-8F47-D5D38471F920}"/>
    <cellStyle name="Normal 8" xfId="98" xr:uid="{B7474386-E617-402A-B145-49C2C9FBADD8}"/>
    <cellStyle name="Normal 8 2" xfId="73" xr:uid="{00000000-0005-0000-0000-000039000000}"/>
    <cellStyle name="Normal 8 2 2" xfId="69" xr:uid="{00000000-0005-0000-0000-00003A000000}"/>
    <cellStyle name="Normal 8 3" xfId="105" xr:uid="{52A1AE15-36EC-4147-93D2-A9C1A040509B}"/>
    <cellStyle name="Normal 9" xfId="79" xr:uid="{ACD81680-F861-4F47-997A-12A0158F44F8}"/>
    <cellStyle name="Normal 9 2" xfId="100" xr:uid="{7B3D2532-7972-4D26-A276-0ABB3FF7B8CF}"/>
    <cellStyle name="Normal_CABLES" xfId="74" xr:uid="{00000000-0005-0000-0000-00003B000000}"/>
    <cellStyle name="Normal_DIS-030-100K.A-OS04-ELC-002-0 (Cálulo SPT Area Proceso) 3 2" xfId="70" xr:uid="{00000000-0005-0000-0000-00003C000000}"/>
    <cellStyle name="Normal_EMCD0010a" xfId="66" xr:uid="{00000000-0005-0000-0000-00003D000000}"/>
    <cellStyle name="Normal_PK-560-37CC-MEX-713 A 2" xfId="63" xr:uid="{00000000-0005-0000-0000-00003E000000}"/>
    <cellStyle name="Normal_PK-560-37CC-MEX-713 A 2 2" xfId="62" xr:uid="{00000000-0005-0000-0000-00003F000000}"/>
    <cellStyle name="Normal_PORTADA TEMPERATURE 2" xfId="89" xr:uid="{23DDC27A-BCE5-40F1-8FDE-56BBDB8CF140}"/>
    <cellStyle name="Normal_Tablas 13.8 y 13.9 STD IEEE-399" xfId="48" xr:uid="{00000000-0005-0000-0000-000040000000}"/>
    <cellStyle name="Notas" xfId="49" builtinId="10" customBuiltin="1"/>
    <cellStyle name="Percent_CONSUMOS 2014" xfId="50" xr:uid="{00000000-0005-0000-0000-000042000000}"/>
    <cellStyle name="Porcentaje" xfId="51" builtinId="5"/>
    <cellStyle name="Porcentaje 2" xfId="83" xr:uid="{D2874C89-65B1-4A07-AFBD-AE2C5CF22A99}"/>
    <cellStyle name="Porcentaje 3" xfId="91" xr:uid="{2FE99DD0-34EC-4A4D-AC05-2E5EED343166}"/>
    <cellStyle name="Porcentaje 4" xfId="103" xr:uid="{61C17941-75C5-4D5E-97AB-BFD2D1873B62}"/>
    <cellStyle name="Porcentual 2 10" xfId="93" xr:uid="{576DC436-E152-4D21-BD68-C0F109EFE88F}"/>
    <cellStyle name="Punto0" xfId="52" xr:uid="{00000000-0005-0000-0000-000044000000}"/>
    <cellStyle name="Salida" xfId="53" builtinId="21" customBuiltin="1"/>
    <cellStyle name="Texto de advertencia" xfId="54" builtinId="11" customBuiltin="1"/>
    <cellStyle name="Texto explicativo" xfId="55" builtinId="53" customBuiltin="1"/>
    <cellStyle name="Título" xfId="56" builtinId="15" customBuiltin="1"/>
    <cellStyle name="Título 2" xfId="58" builtinId="17" customBuiltin="1"/>
    <cellStyle name="Título 3" xfId="59" builtinId="18" customBuiltin="1"/>
    <cellStyle name="Total" xfId="60" builtinId="25" customBuiltin="1"/>
  </cellStyles>
  <dxfs count="56">
    <dxf>
      <numFmt numFmtId="198" formatCode="0.00&quot; kVA&quot;"/>
    </dxf>
    <dxf>
      <numFmt numFmtId="198" formatCode="0.00&quot; kVA&quot;"/>
    </dxf>
    <dxf>
      <numFmt numFmtId="198" formatCode="0.00&quot; kVA&quot;"/>
    </dxf>
    <dxf>
      <numFmt numFmtId="198" formatCode="0.00&quot; kVA&quo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strike/>
      </font>
      <numFmt numFmtId="216" formatCode="00000"/>
      <fill>
        <patternFill>
          <bgColor theme="3" tint="0.79998168889431442"/>
        </patternFill>
      </fill>
    </dxf>
    <dxf>
      <font>
        <color rgb="FF9C0006"/>
      </font>
      <fill>
        <patternFill>
          <bgColor rgb="FFFFC7CE"/>
        </patternFill>
      </fill>
    </dxf>
    <dxf>
      <font>
        <strike val="0"/>
      </font>
      <fill>
        <patternFill>
          <bgColor rgb="FF00B0F0"/>
        </patternFill>
      </fill>
    </dxf>
    <dxf>
      <font>
        <b val="0"/>
        <i val="0"/>
      </font>
      <fill>
        <patternFill>
          <bgColor theme="0"/>
        </patternFill>
      </fill>
    </dxf>
    <dxf>
      <font>
        <b/>
        <i val="0"/>
      </font>
      <fill>
        <patternFill>
          <bgColor rgb="FFFF0000"/>
        </patternFill>
      </fill>
    </dxf>
    <dxf>
      <font>
        <b/>
        <i val="0"/>
      </font>
      <numFmt numFmtId="0" formatCode="General"/>
      <fill>
        <patternFill>
          <bgColor rgb="FFFF0000"/>
        </patternFill>
      </fill>
      <border>
        <left/>
        <right/>
        <top/>
        <bottom/>
        <vertical/>
        <horizontal/>
      </border>
    </dxf>
    <dxf>
      <font>
        <strike val="0"/>
      </font>
      <fill>
        <patternFill>
          <bgColor rgb="FF00B0F0"/>
        </patternFill>
      </fill>
    </dxf>
    <dxf>
      <font>
        <b val="0"/>
        <i val="0"/>
      </font>
      <fill>
        <patternFill>
          <bgColor theme="0"/>
        </patternFill>
      </fill>
    </dxf>
    <dxf>
      <font>
        <b/>
        <i val="0"/>
      </font>
      <fill>
        <patternFill>
          <bgColor rgb="FFFF0000"/>
        </patternFill>
      </fill>
    </dxf>
    <dxf>
      <font>
        <b/>
        <i val="0"/>
      </font>
      <fill>
        <patternFill>
          <bgColor rgb="FFFF0000"/>
        </patternFill>
      </fill>
    </dxf>
    <dxf>
      <font>
        <strike val="0"/>
      </font>
      <fill>
        <patternFill>
          <bgColor rgb="FF00B0F0"/>
        </patternFill>
      </fill>
    </dxf>
    <dxf>
      <font>
        <b val="0"/>
        <i val="0"/>
      </font>
      <fill>
        <patternFill>
          <bgColor theme="0"/>
        </patternFill>
      </fill>
    </dxf>
    <dxf>
      <font>
        <strike val="0"/>
      </font>
      <fill>
        <patternFill>
          <bgColor rgb="FF00B0F0"/>
        </patternFill>
      </fill>
    </dxf>
    <dxf>
      <font>
        <b val="0"/>
        <i val="0"/>
      </font>
      <fill>
        <patternFill>
          <bgColor theme="0"/>
        </patternFill>
      </fill>
    </dxf>
    <dxf>
      <font>
        <b val="0"/>
        <i val="0"/>
        <color auto="1"/>
      </font>
      <numFmt numFmtId="217" formatCode="&quot;N/A&quot;"/>
      <fill>
        <patternFill patternType="solid">
          <bgColor rgb="FF002060"/>
        </patternFill>
      </fill>
    </dxf>
    <dxf>
      <fill>
        <patternFill>
          <bgColor rgb="FF002060"/>
        </patternFill>
      </fill>
    </dxf>
    <dxf>
      <font>
        <color rgb="FF9C0006"/>
      </font>
      <fill>
        <patternFill>
          <bgColor rgb="FFFFC7CE"/>
        </patternFill>
      </fill>
    </dxf>
    <dxf>
      <font>
        <color rgb="FF9C0006"/>
      </font>
      <fill>
        <patternFill>
          <bgColor rgb="FFFFC7CE"/>
        </patternFill>
      </fill>
    </dxf>
    <dxf>
      <font>
        <b/>
        <i val="0"/>
      </font>
      <fill>
        <patternFill patternType="solid">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0000"/>
        </patternFill>
      </fill>
    </dxf>
    <dxf>
      <font>
        <b/>
        <i val="0"/>
      </font>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00B0F0"/>
        </patternFill>
      </fill>
    </dxf>
    <dxf>
      <font>
        <b/>
        <i val="0"/>
      </font>
      <fill>
        <patternFill>
          <bgColor rgb="FFFF0000"/>
        </patternFill>
      </fill>
    </dxf>
    <dxf>
      <fill>
        <gradientFill degree="90">
          <stop position="0">
            <color theme="0"/>
          </stop>
          <stop position="1">
            <color rgb="FFFF0000"/>
          </stop>
        </gradientFill>
      </fill>
    </dxf>
    <dxf>
      <fill>
        <patternFill>
          <bgColor indexed="10"/>
        </patternFill>
      </fill>
    </dxf>
    <dxf>
      <fill>
        <gradientFill degree="90">
          <stop position="0">
            <color theme="0"/>
          </stop>
          <stop position="1">
            <color rgb="FFFF0000"/>
          </stop>
        </gradientFill>
      </fill>
    </dxf>
    <dxf>
      <fill>
        <patternFill>
          <bgColor rgb="FF002060"/>
        </patternFill>
      </fill>
    </dxf>
    <dxf>
      <fill>
        <patternFill>
          <bgColor rgb="FF002060"/>
        </patternFill>
      </fill>
    </dxf>
    <dxf>
      <fill>
        <patternFill>
          <bgColor rgb="FF0070C0"/>
        </patternFill>
      </fill>
    </dxf>
    <dxf>
      <fill>
        <gradientFill degree="90">
          <stop position="0">
            <color theme="0"/>
          </stop>
          <stop position="1">
            <color rgb="FFFF0000"/>
          </stop>
        </gradientFill>
      </fill>
    </dxf>
    <dxf>
      <font>
        <b val="0"/>
        <i val="0"/>
        <color auto="1"/>
      </font>
      <numFmt numFmtId="217" formatCode="&quot;N/A&quot;"/>
      <fill>
        <patternFill patternType="solid">
          <bgColor rgb="FF002060"/>
        </patternFill>
      </fill>
    </dxf>
    <dxf>
      <font>
        <b/>
        <i val="0"/>
      </font>
      <fill>
        <patternFill>
          <bgColor rgb="FF00B0F0"/>
        </patternFill>
      </fill>
    </dxf>
    <dxf>
      <font>
        <b/>
        <i val="0"/>
      </font>
      <fill>
        <patternFill>
          <bgColor rgb="FFFF0000"/>
        </patternFill>
      </fill>
    </dxf>
    <dxf>
      <fill>
        <patternFill>
          <bgColor rgb="FF002060"/>
        </patternFill>
      </fill>
    </dxf>
    <dxf>
      <fill>
        <patternFill>
          <bgColor rgb="FF002060"/>
        </patternFill>
      </fill>
    </dxf>
    <dxf>
      <fill>
        <gradientFill degree="90">
          <stop position="0">
            <color theme="0"/>
          </stop>
          <stop position="1">
            <color rgb="FFFF0000"/>
          </stop>
        </gradientFill>
      </fill>
    </dxf>
    <dxf>
      <fill>
        <patternFill>
          <bgColor rgb="FF0070C0"/>
        </patternFill>
      </fill>
    </dxf>
    <dxf>
      <fill>
        <gradientFill degree="90">
          <stop position="0">
            <color theme="0"/>
          </stop>
          <stop position="1">
            <color rgb="FFFF0000"/>
          </stop>
        </gradientFill>
      </fill>
    </dxf>
    <dxf>
      <fill>
        <gradientFill degree="90">
          <stop position="0">
            <color theme="0"/>
          </stop>
          <stop position="1">
            <color rgb="FFFF0000"/>
          </stop>
        </gradientFill>
      </fill>
    </dxf>
  </dxfs>
  <tableStyles count="0" defaultTableStyle="TableStyleMedium9" defaultPivotStyle="PivotStyleLight16"/>
  <colors>
    <mruColors>
      <color rgb="FF66CCFF"/>
      <color rgb="FF32649A"/>
      <color rgb="FF204062"/>
      <color rgb="FFCDDDAD"/>
      <color rgb="FFB8BAFE"/>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microsoft.com/office/2017/10/relationships/person" Target="persons/person.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3.JPG"/><Relationship Id="rId13" Type="http://schemas.openxmlformats.org/officeDocument/2006/relationships/image" Target="../media/image8.png"/><Relationship Id="rId18" Type="http://schemas.openxmlformats.org/officeDocument/2006/relationships/image" Target="../media/image13.png"/><Relationship Id="rId21" Type="http://schemas.openxmlformats.org/officeDocument/2006/relationships/image" Target="../media/image24.png"/><Relationship Id="rId7" Type="http://schemas.openxmlformats.org/officeDocument/2006/relationships/image" Target="../media/image2.png"/><Relationship Id="rId12" Type="http://schemas.openxmlformats.org/officeDocument/2006/relationships/image" Target="../media/image7.png"/><Relationship Id="rId17" Type="http://schemas.openxmlformats.org/officeDocument/2006/relationships/image" Target="../media/image12.png"/><Relationship Id="rId2" Type="http://schemas.microsoft.com/office/2007/relationships/hdphoto" Target="../media/hdphoto1.wdp"/><Relationship Id="rId16" Type="http://schemas.openxmlformats.org/officeDocument/2006/relationships/image" Target="../media/image11.png"/><Relationship Id="rId20" Type="http://schemas.openxmlformats.org/officeDocument/2006/relationships/image" Target="../media/image15.png"/><Relationship Id="rId1" Type="http://schemas.openxmlformats.org/officeDocument/2006/relationships/image" Target="../media/image1.png"/><Relationship Id="rId6" Type="http://schemas.microsoft.com/office/2007/relationships/hdphoto" Target="../media/hdphoto10.wdp"/><Relationship Id="rId11" Type="http://schemas.openxmlformats.org/officeDocument/2006/relationships/image" Target="../media/image6.png"/><Relationship Id="rId24" Type="http://schemas.openxmlformats.org/officeDocument/2006/relationships/image" Target="../media/image17.png"/><Relationship Id="rId5" Type="http://schemas.openxmlformats.org/officeDocument/2006/relationships/image" Target="../media/image30.png"/><Relationship Id="rId15" Type="http://schemas.openxmlformats.org/officeDocument/2006/relationships/image" Target="../media/image10.png"/><Relationship Id="rId23" Type="http://schemas.openxmlformats.org/officeDocument/2006/relationships/image" Target="../media/image16.png"/><Relationship Id="rId10" Type="http://schemas.openxmlformats.org/officeDocument/2006/relationships/image" Target="../media/image5.png"/><Relationship Id="rId19" Type="http://schemas.openxmlformats.org/officeDocument/2006/relationships/image" Target="../media/image14.png"/><Relationship Id="rId9" Type="http://schemas.openxmlformats.org/officeDocument/2006/relationships/image" Target="../media/image4.png"/><Relationship Id="rId14" Type="http://schemas.openxmlformats.org/officeDocument/2006/relationships/image" Target="../media/image9.png"/><Relationship Id="rId22" Type="http://schemas.microsoft.com/office/2007/relationships/hdphoto" Target="../media/hdphoto11.wdp"/></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8.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8.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6.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7.png"/><Relationship Id="rId5" Type="http://schemas.openxmlformats.org/officeDocument/2006/relationships/image" Target="../media/image26.png"/><Relationship Id="rId4" Type="http://schemas.openxmlformats.org/officeDocument/2006/relationships/image" Target="../media/image25.png"/></Relationships>
</file>

<file path=xl/drawings/_rels/drawing7.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17.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8.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1.png"/><Relationship Id="rId2" Type="http://schemas.openxmlformats.org/officeDocument/2006/relationships/image" Target="../media/image29.png"/><Relationship Id="rId1" Type="http://schemas.openxmlformats.org/officeDocument/2006/relationships/image" Target="../media/image28.png"/><Relationship Id="rId5" Type="http://schemas.openxmlformats.org/officeDocument/2006/relationships/image" Target="../media/image20.png"/><Relationship Id="rId4"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image" Target="../media/image17.png"/><Relationship Id="rId1" Type="http://schemas.openxmlformats.org/officeDocument/2006/relationships/image" Target="../media/image18.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34.png"/><Relationship Id="rId1" Type="http://schemas.openxmlformats.org/officeDocument/2006/relationships/image" Target="../media/image3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43.png"/><Relationship Id="rId3" Type="http://schemas.openxmlformats.org/officeDocument/2006/relationships/image" Target="../media/image38.png"/><Relationship Id="rId7" Type="http://schemas.openxmlformats.org/officeDocument/2006/relationships/image" Target="../media/image42.png"/><Relationship Id="rId2" Type="http://schemas.openxmlformats.org/officeDocument/2006/relationships/image" Target="../media/image37.png"/><Relationship Id="rId1" Type="http://schemas.openxmlformats.org/officeDocument/2006/relationships/image" Target="../media/image36.png"/><Relationship Id="rId6" Type="http://schemas.openxmlformats.org/officeDocument/2006/relationships/image" Target="../media/image41.png"/><Relationship Id="rId5" Type="http://schemas.openxmlformats.org/officeDocument/2006/relationships/image" Target="../media/image40.png"/><Relationship Id="rId4" Type="http://schemas.openxmlformats.org/officeDocument/2006/relationships/image" Target="../media/image3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45.png"/><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oneCellAnchor>
    <xdr:from>
      <xdr:col>10</xdr:col>
      <xdr:colOff>173831</xdr:colOff>
      <xdr:row>207</xdr:row>
      <xdr:rowOff>36909</xdr:rowOff>
    </xdr:from>
    <xdr:ext cx="321435" cy="345672"/>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2650331" y="39641859"/>
              <a:ext cx="321435" cy="345672"/>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i="1">
                            <a:latin typeface="Cambria Math" panose="02040503050406030204" pitchFamily="18" charset="0"/>
                          </a:rPr>
                        </m:ctrlPr>
                      </m:fPr>
                      <m:num>
                        <m:r>
                          <a:rPr lang="es-CO" sz="1100" b="0" i="1">
                            <a:latin typeface="Cambria Math" panose="02040503050406030204" pitchFamily="18" charset="0"/>
                          </a:rPr>
                          <m:t>𝑉𝐴</m:t>
                        </m:r>
                      </m:num>
                      <m:den>
                        <m:sSub>
                          <m:sSubPr>
                            <m:ctrlPr>
                              <a:rPr lang="en-US" sz="1100" i="1">
                                <a:latin typeface="Cambria Math" panose="02040503050406030204" pitchFamily="18" charset="0"/>
                              </a:rPr>
                            </m:ctrlPr>
                          </m:sSubPr>
                          <m:e>
                            <m:r>
                              <a:rPr lang="es-CO" sz="1100" b="0" i="1">
                                <a:latin typeface="Cambria Math" panose="02040503050406030204" pitchFamily="18" charset="0"/>
                              </a:rPr>
                              <m:t>𝑉</m:t>
                            </m:r>
                          </m:e>
                          <m:sub>
                            <m:r>
                              <a:rPr lang="es-CO" sz="1100" b="0" i="1">
                                <a:latin typeface="Cambria Math" panose="02040503050406030204" pitchFamily="18" charset="0"/>
                              </a:rPr>
                              <m:t>𝐿</m:t>
                            </m:r>
                            <m:r>
                              <a:rPr lang="es-CO" sz="1100" b="0" i="1">
                                <a:latin typeface="Cambria Math" panose="02040503050406030204" pitchFamily="18" charset="0"/>
                              </a:rPr>
                              <m:t>−</m:t>
                            </m:r>
                            <m:r>
                              <a:rPr lang="es-CO" sz="1100" b="0" i="1">
                                <a:latin typeface="Cambria Math" panose="02040503050406030204" pitchFamily="18" charset="0"/>
                              </a:rPr>
                              <m:t>𝑁</m:t>
                            </m:r>
                          </m:sub>
                        </m:sSub>
                      </m:den>
                    </m:f>
                  </m:oMath>
                </m:oMathPara>
              </a14:m>
              <a:endParaRPr lang="en-US" sz="1100"/>
            </a:p>
          </xdr:txBody>
        </xdr:sp>
      </mc:Choice>
      <mc:Fallback xmlns="">
        <xdr:sp macro="" textlink="">
          <xdr:nvSpPr>
            <xdr:cNvPr id="5" name="CuadroTexto 4">
              <a:extLst>
                <a:ext uri="{FF2B5EF4-FFF2-40B4-BE49-F238E27FC236}">
                  <a16:creationId xmlns:a16="http://schemas.microsoft.com/office/drawing/2014/main" id="{3528103D-D277-49F7-8077-9EFCDCA16B0C}"/>
                </a:ext>
              </a:extLst>
            </xdr:cNvPr>
            <xdr:cNvSpPr txBox="1"/>
          </xdr:nvSpPr>
          <xdr:spPr>
            <a:xfrm>
              <a:off x="2650331" y="39641859"/>
              <a:ext cx="321435" cy="345672"/>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𝑉𝐴</a:t>
              </a:r>
              <a:r>
                <a:rPr lang="en-US" sz="1100" b="0" i="0">
                  <a:latin typeface="Cambria Math" panose="02040503050406030204" pitchFamily="18" charset="0"/>
                </a:rPr>
                <a:t>/</a:t>
              </a:r>
              <a:r>
                <a:rPr lang="es-CO" sz="1100" b="0" i="0">
                  <a:latin typeface="Cambria Math" panose="02040503050406030204" pitchFamily="18" charset="0"/>
                </a:rPr>
                <a:t>𝑉</a:t>
              </a:r>
              <a:r>
                <a:rPr lang="en-US" sz="1100" b="0" i="0">
                  <a:latin typeface="Cambria Math" panose="02040503050406030204" pitchFamily="18" charset="0"/>
                </a:rPr>
                <a:t>_(</a:t>
              </a:r>
              <a:r>
                <a:rPr lang="es-CO" sz="1100" b="0" i="0">
                  <a:latin typeface="Cambria Math" panose="02040503050406030204" pitchFamily="18" charset="0"/>
                </a:rPr>
                <a:t>𝐿−𝑁</a:t>
              </a:r>
              <a:r>
                <a:rPr lang="en-US" sz="1100" b="0" i="0">
                  <a:latin typeface="Cambria Math" panose="02040503050406030204" pitchFamily="18" charset="0"/>
                </a:rPr>
                <a:t>)</a:t>
              </a:r>
              <a:r>
                <a:rPr lang="es-CO" sz="1100" b="0" i="0">
                  <a:latin typeface="Cambria Math" panose="02040503050406030204" pitchFamily="18" charset="0"/>
                </a:rPr>
                <a:t> </a:t>
              </a:r>
              <a:endParaRPr lang="en-US" sz="1100"/>
            </a:p>
          </xdr:txBody>
        </xdr:sp>
      </mc:Fallback>
    </mc:AlternateContent>
    <xdr:clientData/>
  </xdr:oneCellAnchor>
  <xdr:oneCellAnchor>
    <xdr:from>
      <xdr:col>15</xdr:col>
      <xdr:colOff>232172</xdr:colOff>
      <xdr:row>207</xdr:row>
      <xdr:rowOff>41671</xdr:rowOff>
    </xdr:from>
    <xdr:ext cx="300210" cy="345672"/>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3946922" y="39646621"/>
              <a:ext cx="300210" cy="345672"/>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i="1">
                            <a:latin typeface="Cambria Math" panose="02040503050406030204" pitchFamily="18" charset="0"/>
                          </a:rPr>
                        </m:ctrlPr>
                      </m:fPr>
                      <m:num>
                        <m:r>
                          <a:rPr lang="es-CO" sz="1100" b="0" i="1">
                            <a:latin typeface="Cambria Math" panose="02040503050406030204" pitchFamily="18" charset="0"/>
                          </a:rPr>
                          <m:t>𝑉𝐴</m:t>
                        </m:r>
                      </m:num>
                      <m:den>
                        <m:sSub>
                          <m:sSubPr>
                            <m:ctrlPr>
                              <a:rPr lang="en-US" sz="1100" i="1">
                                <a:latin typeface="Cambria Math" panose="02040503050406030204" pitchFamily="18" charset="0"/>
                              </a:rPr>
                            </m:ctrlPr>
                          </m:sSubPr>
                          <m:e>
                            <m:r>
                              <a:rPr lang="es-CO" sz="1100" b="0" i="1">
                                <a:latin typeface="Cambria Math" panose="02040503050406030204" pitchFamily="18" charset="0"/>
                              </a:rPr>
                              <m:t>𝑉</m:t>
                            </m:r>
                          </m:e>
                          <m:sub>
                            <m:r>
                              <a:rPr lang="es-CO" sz="1100" b="0" i="1">
                                <a:latin typeface="Cambria Math" panose="02040503050406030204" pitchFamily="18" charset="0"/>
                              </a:rPr>
                              <m:t>𝐿</m:t>
                            </m:r>
                            <m:r>
                              <a:rPr lang="es-CO" sz="1100" b="0" i="1">
                                <a:latin typeface="Cambria Math" panose="02040503050406030204" pitchFamily="18" charset="0"/>
                              </a:rPr>
                              <m:t>−</m:t>
                            </m:r>
                            <m:r>
                              <a:rPr lang="es-CO" sz="1100" b="0" i="1">
                                <a:latin typeface="Cambria Math" panose="02040503050406030204" pitchFamily="18" charset="0"/>
                              </a:rPr>
                              <m:t>𝐿</m:t>
                            </m:r>
                          </m:sub>
                        </m:sSub>
                      </m:den>
                    </m:f>
                  </m:oMath>
                </m:oMathPara>
              </a14:m>
              <a:endParaRPr lang="en-US" sz="1100"/>
            </a:p>
          </xdr:txBody>
        </xdr:sp>
      </mc:Choice>
      <mc:Fallback xmlns="">
        <xdr:sp macro="" textlink="">
          <xdr:nvSpPr>
            <xdr:cNvPr id="6" name="CuadroTexto 5">
              <a:extLst>
                <a:ext uri="{FF2B5EF4-FFF2-40B4-BE49-F238E27FC236}">
                  <a16:creationId xmlns:a16="http://schemas.microsoft.com/office/drawing/2014/main" id="{CB397043-10E7-4CBD-8758-B0DB91AFC8BA}"/>
                </a:ext>
              </a:extLst>
            </xdr:cNvPr>
            <xdr:cNvSpPr txBox="1"/>
          </xdr:nvSpPr>
          <xdr:spPr>
            <a:xfrm>
              <a:off x="3946922" y="39646621"/>
              <a:ext cx="300210" cy="345672"/>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𝑉𝐴</a:t>
              </a:r>
              <a:r>
                <a:rPr lang="en-US" sz="1100" b="0" i="0">
                  <a:latin typeface="Cambria Math" panose="02040503050406030204" pitchFamily="18" charset="0"/>
                </a:rPr>
                <a:t>/</a:t>
              </a:r>
              <a:r>
                <a:rPr lang="es-CO" sz="1100" b="0" i="0">
                  <a:latin typeface="Cambria Math" panose="02040503050406030204" pitchFamily="18" charset="0"/>
                </a:rPr>
                <a:t>𝑉</a:t>
              </a:r>
              <a:r>
                <a:rPr lang="en-US" sz="1100" b="0" i="0">
                  <a:latin typeface="Cambria Math" panose="02040503050406030204" pitchFamily="18" charset="0"/>
                </a:rPr>
                <a:t>_(</a:t>
              </a:r>
              <a:r>
                <a:rPr lang="es-CO" sz="1100" b="0" i="0">
                  <a:latin typeface="Cambria Math" panose="02040503050406030204" pitchFamily="18" charset="0"/>
                </a:rPr>
                <a:t>𝐿−𝐿</a:t>
              </a:r>
              <a:r>
                <a:rPr lang="en-US" sz="1100" b="0" i="0">
                  <a:latin typeface="Cambria Math" panose="02040503050406030204" pitchFamily="18" charset="0"/>
                </a:rPr>
                <a:t>)</a:t>
              </a:r>
              <a:r>
                <a:rPr lang="es-CO" sz="1100" b="0" i="0">
                  <a:latin typeface="Cambria Math" panose="02040503050406030204" pitchFamily="18" charset="0"/>
                </a:rPr>
                <a:t> </a:t>
              </a:r>
              <a:endParaRPr lang="en-US" sz="1100"/>
            </a:p>
          </xdr:txBody>
        </xdr:sp>
      </mc:Fallback>
    </mc:AlternateContent>
    <xdr:clientData/>
  </xdr:oneCellAnchor>
  <xdr:oneCellAnchor>
    <xdr:from>
      <xdr:col>20</xdr:col>
      <xdr:colOff>130968</xdr:colOff>
      <xdr:row>207</xdr:row>
      <xdr:rowOff>52496</xdr:rowOff>
    </xdr:from>
    <xdr:ext cx="601768" cy="366703"/>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100-000007000000}"/>
                </a:ext>
                <a:ext uri="{C183D7F6-B498-43B3-948B-1728B52AA6E4}">
                  <adec:decorative xmlns:adec="http://schemas.microsoft.com/office/drawing/2017/decorative" val="1"/>
                </a:ext>
              </a:extLst>
            </xdr:cNvPr>
            <xdr:cNvSpPr txBox="1"/>
          </xdr:nvSpPr>
          <xdr:spPr>
            <a:xfrm>
              <a:off x="5083968" y="39657446"/>
              <a:ext cx="601768" cy="36670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i="1">
                            <a:latin typeface="Cambria Math" panose="02040503050406030204" pitchFamily="18" charset="0"/>
                          </a:rPr>
                        </m:ctrlPr>
                      </m:fPr>
                      <m:num>
                        <m:r>
                          <a:rPr lang="es-CO" sz="1100" b="0" i="1">
                            <a:latin typeface="Cambria Math" panose="02040503050406030204" pitchFamily="18" charset="0"/>
                          </a:rPr>
                          <m:t>𝑉𝐴</m:t>
                        </m:r>
                      </m:num>
                      <m:den>
                        <m:sSub>
                          <m:sSubPr>
                            <m:ctrlPr>
                              <a:rPr lang="en-US" sz="1100" i="1">
                                <a:latin typeface="Cambria Math" panose="02040503050406030204" pitchFamily="18" charset="0"/>
                              </a:rPr>
                            </m:ctrlPr>
                          </m:sSubPr>
                          <m:e>
                            <m:rad>
                              <m:radPr>
                                <m:degHide m:val="on"/>
                                <m:ctrlPr>
                                  <a:rPr lang="en-US" sz="1100" i="1">
                                    <a:latin typeface="Cambria Math" panose="02040503050406030204" pitchFamily="18" charset="0"/>
                                  </a:rPr>
                                </m:ctrlPr>
                              </m:radPr>
                              <m:deg/>
                              <m:e>
                                <m:r>
                                  <a:rPr lang="es-CO" sz="1100" b="0" i="1">
                                    <a:latin typeface="Cambria Math" panose="02040503050406030204" pitchFamily="18" charset="0"/>
                                  </a:rPr>
                                  <m:t>3</m:t>
                                </m:r>
                              </m:e>
                            </m:rad>
                            <m:r>
                              <a:rPr lang="es-CO" sz="1100" b="0" i="1">
                                <a:latin typeface="Cambria Math" panose="02040503050406030204" pitchFamily="18" charset="0"/>
                              </a:rPr>
                              <m:t>∗</m:t>
                            </m:r>
                            <m:r>
                              <a:rPr lang="es-CO" sz="1100" b="0" i="1">
                                <a:latin typeface="Cambria Math" panose="02040503050406030204" pitchFamily="18" charset="0"/>
                              </a:rPr>
                              <m:t>𝑉</m:t>
                            </m:r>
                          </m:e>
                          <m:sub>
                            <m:r>
                              <a:rPr lang="es-CO" sz="1100" b="0" i="1">
                                <a:latin typeface="Cambria Math" panose="02040503050406030204" pitchFamily="18" charset="0"/>
                              </a:rPr>
                              <m:t>𝐿</m:t>
                            </m:r>
                            <m:r>
                              <a:rPr lang="es-CO" sz="1100" b="0" i="1">
                                <a:latin typeface="Cambria Math" panose="02040503050406030204" pitchFamily="18" charset="0"/>
                              </a:rPr>
                              <m:t>−</m:t>
                            </m:r>
                            <m:r>
                              <a:rPr lang="es-ES" sz="1100" b="0" i="1">
                                <a:latin typeface="Cambria Math" panose="02040503050406030204" pitchFamily="18" charset="0"/>
                              </a:rPr>
                              <m:t>𝐿</m:t>
                            </m:r>
                          </m:sub>
                        </m:sSub>
                      </m:den>
                    </m:f>
                  </m:oMath>
                </m:oMathPara>
              </a14:m>
              <a:endParaRPr lang="en-US" sz="1100"/>
            </a:p>
          </xdr:txBody>
        </xdr:sp>
      </mc:Choice>
      <mc:Fallback xmlns="">
        <xdr:sp macro="" textlink="">
          <xdr:nvSpPr>
            <xdr:cNvPr id="7" name="CuadroTexto 6">
              <a:extLst>
                <a:ext uri="{FF2B5EF4-FFF2-40B4-BE49-F238E27FC236}">
                  <a16:creationId xmlns:a16="http://schemas.microsoft.com/office/drawing/2014/main" id="{AD30FCEA-E818-4E0F-84F9-773FF316D9B4}"/>
                </a:ext>
                <a:ext uri="{C183D7F6-B498-43B3-948B-1728B52AA6E4}">
                  <adec:decorative xmlns:adec="http://schemas.microsoft.com/office/drawing/2017/decorative" val="1"/>
                </a:ext>
              </a:extLst>
            </xdr:cNvPr>
            <xdr:cNvSpPr txBox="1"/>
          </xdr:nvSpPr>
          <xdr:spPr>
            <a:xfrm>
              <a:off x="5083968" y="39657446"/>
              <a:ext cx="601768" cy="36670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𝑉𝐴</a:t>
              </a:r>
              <a:r>
                <a:rPr lang="en-US" sz="1100" b="0" i="0">
                  <a:latin typeface="Cambria Math" panose="02040503050406030204" pitchFamily="18" charset="0"/>
                </a:rPr>
                <a:t>/〖√</a:t>
              </a:r>
              <a:r>
                <a:rPr lang="es-CO" sz="1100" b="0" i="0">
                  <a:latin typeface="Cambria Math" panose="02040503050406030204" pitchFamily="18" charset="0"/>
                </a:rPr>
                <a:t>3∗𝑉</a:t>
              </a:r>
              <a:r>
                <a:rPr lang="en-US" sz="1100" b="0" i="0">
                  <a:latin typeface="Cambria Math" panose="02040503050406030204" pitchFamily="18" charset="0"/>
                </a:rPr>
                <a:t>〗_(</a:t>
              </a:r>
              <a:r>
                <a:rPr lang="es-CO" sz="1100" b="0" i="0">
                  <a:latin typeface="Cambria Math" panose="02040503050406030204" pitchFamily="18" charset="0"/>
                </a:rPr>
                <a:t>𝐿−</a:t>
              </a:r>
              <a:r>
                <a:rPr lang="es-ES" sz="1100" b="0" i="0">
                  <a:latin typeface="Cambria Math" panose="02040503050406030204" pitchFamily="18" charset="0"/>
                </a:rPr>
                <a:t>𝐿</a:t>
              </a:r>
              <a:r>
                <a:rPr lang="en-US" sz="1100" b="0" i="0">
                  <a:latin typeface="Cambria Math" panose="02040503050406030204" pitchFamily="18" charset="0"/>
                </a:rPr>
                <a:t>)</a:t>
              </a:r>
              <a:r>
                <a:rPr lang="es-ES" sz="1100" b="0" i="0">
                  <a:latin typeface="Cambria Math" panose="02040503050406030204" pitchFamily="18" charset="0"/>
                </a:rPr>
                <a:t> </a:t>
              </a:r>
              <a:endParaRPr lang="en-US" sz="1100"/>
            </a:p>
          </xdr:txBody>
        </xdr:sp>
      </mc:Fallback>
    </mc:AlternateContent>
    <xdr:clientData/>
  </xdr:oneCellAnchor>
  <xdr:oneCellAnchor>
    <xdr:from>
      <xdr:col>12</xdr:col>
      <xdr:colOff>129209</xdr:colOff>
      <xdr:row>300</xdr:row>
      <xdr:rowOff>135834</xdr:rowOff>
    </xdr:from>
    <xdr:ext cx="2228850" cy="219163"/>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3101009" y="57133434"/>
              <a:ext cx="2228850" cy="21916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400" b="0" i="1">
                            <a:latin typeface="Cambria Math" panose="02040503050406030204" pitchFamily="18" charset="0"/>
                            <a:ea typeface="Cambria Math" panose="02040503050406030204" pitchFamily="18" charset="0"/>
                          </a:rPr>
                        </m:ctrlPr>
                      </m:sSubPr>
                      <m:e>
                        <m:r>
                          <a:rPr lang="es-ES" sz="1400" b="0" i="1">
                            <a:latin typeface="Cambria Math" panose="02040503050406030204" pitchFamily="18" charset="0"/>
                            <a:ea typeface="Cambria Math" panose="02040503050406030204" pitchFamily="18" charset="0"/>
                          </a:rPr>
                          <m:t>𝑅</m:t>
                        </m:r>
                      </m:e>
                      <m:sub>
                        <m:r>
                          <a:rPr lang="es-ES" sz="1400" b="0" i="1">
                            <a:latin typeface="Cambria Math" panose="02040503050406030204" pitchFamily="18" charset="0"/>
                            <a:ea typeface="Cambria Math" panose="02040503050406030204" pitchFamily="18" charset="0"/>
                          </a:rPr>
                          <m:t>2</m:t>
                        </m:r>
                      </m:sub>
                    </m:sSub>
                    <m:r>
                      <a:rPr lang="es-ES" sz="1400" b="0" i="1">
                        <a:latin typeface="Cambria Math" panose="02040503050406030204" pitchFamily="18" charset="0"/>
                        <a:ea typeface="Cambria Math" panose="02040503050406030204" pitchFamily="18" charset="0"/>
                      </a:rPr>
                      <m:t>=</m:t>
                    </m:r>
                    <m:sSub>
                      <m:sSubPr>
                        <m:ctrlPr>
                          <a:rPr lang="es-ES" sz="1400" b="0" i="1">
                            <a:latin typeface="Cambria Math" panose="02040503050406030204" pitchFamily="18" charset="0"/>
                            <a:ea typeface="Cambria Math" panose="02040503050406030204" pitchFamily="18" charset="0"/>
                          </a:rPr>
                        </m:ctrlPr>
                      </m:sSubPr>
                      <m:e>
                        <m:r>
                          <a:rPr lang="es-ES" sz="1400" b="0" i="1">
                            <a:latin typeface="Cambria Math" panose="02040503050406030204" pitchFamily="18" charset="0"/>
                            <a:ea typeface="Cambria Math" panose="02040503050406030204" pitchFamily="18" charset="0"/>
                          </a:rPr>
                          <m:t>𝑅</m:t>
                        </m:r>
                      </m:e>
                      <m:sub>
                        <m:r>
                          <a:rPr lang="es-ES" sz="1400" b="0" i="1">
                            <a:latin typeface="Cambria Math" panose="02040503050406030204" pitchFamily="18" charset="0"/>
                            <a:ea typeface="Cambria Math" panose="02040503050406030204" pitchFamily="18" charset="0"/>
                          </a:rPr>
                          <m:t>1</m:t>
                        </m:r>
                      </m:sub>
                    </m:sSub>
                    <m:d>
                      <m:dPr>
                        <m:begChr m:val="["/>
                        <m:endChr m:val="]"/>
                        <m:ctrlPr>
                          <a:rPr lang="es-ES" sz="1400" b="0" i="1">
                            <a:latin typeface="Cambria Math" panose="02040503050406030204" pitchFamily="18" charset="0"/>
                            <a:ea typeface="Cambria Math" panose="02040503050406030204" pitchFamily="18" charset="0"/>
                          </a:rPr>
                        </m:ctrlPr>
                      </m:dPr>
                      <m:e>
                        <m:r>
                          <a:rPr lang="es-ES" sz="1400" b="0" i="1">
                            <a:latin typeface="Cambria Math" panose="02040503050406030204" pitchFamily="18" charset="0"/>
                            <a:ea typeface="Cambria Math" panose="02040503050406030204" pitchFamily="18" charset="0"/>
                          </a:rPr>
                          <m:t>1+∝</m:t>
                        </m:r>
                        <m:d>
                          <m:dPr>
                            <m:ctrlPr>
                              <a:rPr lang="es-ES" sz="1400" b="0" i="1">
                                <a:latin typeface="Cambria Math" panose="02040503050406030204" pitchFamily="18" charset="0"/>
                                <a:ea typeface="Cambria Math" panose="02040503050406030204" pitchFamily="18" charset="0"/>
                              </a:rPr>
                            </m:ctrlPr>
                          </m:dPr>
                          <m:e>
                            <m:sSub>
                              <m:sSubPr>
                                <m:ctrlPr>
                                  <a:rPr lang="es-ES" sz="1400" b="0" i="1">
                                    <a:latin typeface="Cambria Math" panose="02040503050406030204" pitchFamily="18" charset="0"/>
                                    <a:ea typeface="Cambria Math" panose="02040503050406030204" pitchFamily="18" charset="0"/>
                                  </a:rPr>
                                </m:ctrlPr>
                              </m:sSubPr>
                              <m:e>
                                <m:r>
                                  <a:rPr lang="es-ES" sz="1400" b="0" i="1">
                                    <a:latin typeface="Cambria Math" panose="02040503050406030204" pitchFamily="18" charset="0"/>
                                    <a:ea typeface="Cambria Math" panose="02040503050406030204" pitchFamily="18" charset="0"/>
                                  </a:rPr>
                                  <m:t>𝑇</m:t>
                                </m:r>
                              </m:e>
                              <m:sub>
                                <m:r>
                                  <a:rPr lang="es-ES" sz="1400" b="0" i="1">
                                    <a:latin typeface="Cambria Math" panose="02040503050406030204" pitchFamily="18" charset="0"/>
                                    <a:ea typeface="Cambria Math" panose="02040503050406030204" pitchFamily="18" charset="0"/>
                                  </a:rPr>
                                  <m:t>2</m:t>
                                </m:r>
                              </m:sub>
                            </m:sSub>
                            <m:r>
                              <a:rPr lang="es-ES" sz="1400" b="0" i="1">
                                <a:latin typeface="Cambria Math" panose="02040503050406030204" pitchFamily="18" charset="0"/>
                                <a:ea typeface="Cambria Math" panose="02040503050406030204" pitchFamily="18" charset="0"/>
                              </a:rPr>
                              <m:t>−75</m:t>
                            </m:r>
                          </m:e>
                        </m:d>
                      </m:e>
                    </m:d>
                  </m:oMath>
                </m:oMathPara>
              </a14:m>
              <a:endParaRPr lang="es-CO" sz="1200"/>
            </a:p>
          </xdr:txBody>
        </xdr:sp>
      </mc:Choice>
      <mc:Fallback xmlns="">
        <xdr:sp macro="" textlink="">
          <xdr:nvSpPr>
            <xdr:cNvPr id="8" name="CuadroTexto 7">
              <a:extLst>
                <a:ext uri="{FF2B5EF4-FFF2-40B4-BE49-F238E27FC236}">
                  <a16:creationId xmlns:a16="http://schemas.microsoft.com/office/drawing/2014/main" id="{5957D644-9166-44B9-B786-BC3C89BD5DBC}"/>
                </a:ext>
              </a:extLst>
            </xdr:cNvPr>
            <xdr:cNvSpPr txBox="1"/>
          </xdr:nvSpPr>
          <xdr:spPr>
            <a:xfrm>
              <a:off x="3101009" y="57133434"/>
              <a:ext cx="2228850" cy="21916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𝑅_2=𝑅_1 [1+∝(𝑇_2−75)]</a:t>
              </a:r>
              <a:endParaRPr lang="es-CO" sz="1200"/>
            </a:p>
          </xdr:txBody>
        </xdr:sp>
      </mc:Fallback>
    </mc:AlternateContent>
    <xdr:clientData/>
  </xdr:oneCellAnchor>
  <xdr:oneCellAnchor>
    <xdr:from>
      <xdr:col>10</xdr:col>
      <xdr:colOff>173831</xdr:colOff>
      <xdr:row>213</xdr:row>
      <xdr:rowOff>36909</xdr:rowOff>
    </xdr:from>
    <xdr:ext cx="321435" cy="345672"/>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100-000009000000}"/>
                </a:ext>
              </a:extLst>
            </xdr:cNvPr>
            <xdr:cNvSpPr txBox="1"/>
          </xdr:nvSpPr>
          <xdr:spPr>
            <a:xfrm>
              <a:off x="2650331" y="40575309"/>
              <a:ext cx="321435" cy="345672"/>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i="1">
                            <a:latin typeface="Cambria Math" panose="02040503050406030204" pitchFamily="18" charset="0"/>
                          </a:rPr>
                        </m:ctrlPr>
                      </m:fPr>
                      <m:num>
                        <m:r>
                          <a:rPr lang="es-CO" sz="1100" b="0" i="1">
                            <a:latin typeface="Cambria Math" panose="02040503050406030204" pitchFamily="18" charset="0"/>
                          </a:rPr>
                          <m:t>𝑉𝐴</m:t>
                        </m:r>
                      </m:num>
                      <m:den>
                        <m:sSub>
                          <m:sSubPr>
                            <m:ctrlPr>
                              <a:rPr lang="en-US" sz="1100" i="1">
                                <a:latin typeface="Cambria Math" panose="02040503050406030204" pitchFamily="18" charset="0"/>
                              </a:rPr>
                            </m:ctrlPr>
                          </m:sSubPr>
                          <m:e>
                            <m:r>
                              <a:rPr lang="es-CO" sz="1100" b="0" i="1">
                                <a:latin typeface="Cambria Math" panose="02040503050406030204" pitchFamily="18" charset="0"/>
                              </a:rPr>
                              <m:t>𝑉</m:t>
                            </m:r>
                          </m:e>
                          <m:sub>
                            <m:r>
                              <a:rPr lang="es-CO" sz="1100" b="0" i="1">
                                <a:latin typeface="Cambria Math" panose="02040503050406030204" pitchFamily="18" charset="0"/>
                              </a:rPr>
                              <m:t>𝐿</m:t>
                            </m:r>
                            <m:r>
                              <a:rPr lang="es-CO" sz="1100" b="0" i="1">
                                <a:latin typeface="Cambria Math" panose="02040503050406030204" pitchFamily="18" charset="0"/>
                              </a:rPr>
                              <m:t>−</m:t>
                            </m:r>
                            <m:r>
                              <a:rPr lang="es-CO" sz="1100" b="0" i="1">
                                <a:latin typeface="Cambria Math" panose="02040503050406030204" pitchFamily="18" charset="0"/>
                              </a:rPr>
                              <m:t>𝑁</m:t>
                            </m:r>
                          </m:sub>
                        </m:sSub>
                      </m:den>
                    </m:f>
                  </m:oMath>
                </m:oMathPara>
              </a14:m>
              <a:endParaRPr lang="en-US" sz="1100"/>
            </a:p>
          </xdr:txBody>
        </xdr:sp>
      </mc:Choice>
      <mc:Fallback xmlns="">
        <xdr:sp macro="" textlink="">
          <xdr:nvSpPr>
            <xdr:cNvPr id="9" name="CuadroTexto 8">
              <a:extLst>
                <a:ext uri="{FF2B5EF4-FFF2-40B4-BE49-F238E27FC236}">
                  <a16:creationId xmlns:a16="http://schemas.microsoft.com/office/drawing/2014/main" id="{A5A1E0AE-7986-44A9-ACC5-BC411FE057E5}"/>
                </a:ext>
              </a:extLst>
            </xdr:cNvPr>
            <xdr:cNvSpPr txBox="1"/>
          </xdr:nvSpPr>
          <xdr:spPr>
            <a:xfrm>
              <a:off x="2650331" y="40575309"/>
              <a:ext cx="321435" cy="345672"/>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𝑉𝐴</a:t>
              </a:r>
              <a:r>
                <a:rPr lang="en-US" sz="1100" b="0" i="0">
                  <a:latin typeface="Cambria Math" panose="02040503050406030204" pitchFamily="18" charset="0"/>
                </a:rPr>
                <a:t>/</a:t>
              </a:r>
              <a:r>
                <a:rPr lang="es-CO" sz="1100" b="0" i="0">
                  <a:latin typeface="Cambria Math" panose="02040503050406030204" pitchFamily="18" charset="0"/>
                </a:rPr>
                <a:t>𝑉</a:t>
              </a:r>
              <a:r>
                <a:rPr lang="en-US" sz="1100" b="0" i="0">
                  <a:latin typeface="Cambria Math" panose="02040503050406030204" pitchFamily="18" charset="0"/>
                </a:rPr>
                <a:t>_(</a:t>
              </a:r>
              <a:r>
                <a:rPr lang="es-CO" sz="1100" b="0" i="0">
                  <a:latin typeface="Cambria Math" panose="02040503050406030204" pitchFamily="18" charset="0"/>
                </a:rPr>
                <a:t>𝐿−𝑁</a:t>
              </a:r>
              <a:r>
                <a:rPr lang="en-US" sz="1100" b="0" i="0">
                  <a:latin typeface="Cambria Math" panose="02040503050406030204" pitchFamily="18" charset="0"/>
                </a:rPr>
                <a:t>)</a:t>
              </a:r>
              <a:r>
                <a:rPr lang="es-CO" sz="1100" b="0" i="0">
                  <a:latin typeface="Cambria Math" panose="02040503050406030204" pitchFamily="18" charset="0"/>
                </a:rPr>
                <a:t> </a:t>
              </a:r>
              <a:endParaRPr lang="en-US" sz="1100"/>
            </a:p>
          </xdr:txBody>
        </xdr:sp>
      </mc:Fallback>
    </mc:AlternateContent>
    <xdr:clientData/>
  </xdr:oneCellAnchor>
  <xdr:oneCellAnchor>
    <xdr:from>
      <xdr:col>15</xdr:col>
      <xdr:colOff>232172</xdr:colOff>
      <xdr:row>213</xdr:row>
      <xdr:rowOff>41671</xdr:rowOff>
    </xdr:from>
    <xdr:ext cx="300210" cy="3456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100-00000A000000}"/>
                </a:ext>
              </a:extLst>
            </xdr:cNvPr>
            <xdr:cNvSpPr txBox="1"/>
          </xdr:nvSpPr>
          <xdr:spPr>
            <a:xfrm>
              <a:off x="3946922" y="40580071"/>
              <a:ext cx="300210" cy="345672"/>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i="1">
                            <a:latin typeface="Cambria Math" panose="02040503050406030204" pitchFamily="18" charset="0"/>
                          </a:rPr>
                        </m:ctrlPr>
                      </m:fPr>
                      <m:num>
                        <m:r>
                          <a:rPr lang="es-CO" sz="1100" b="0" i="1">
                            <a:latin typeface="Cambria Math" panose="02040503050406030204" pitchFamily="18" charset="0"/>
                          </a:rPr>
                          <m:t>𝑉𝐴</m:t>
                        </m:r>
                      </m:num>
                      <m:den>
                        <m:sSub>
                          <m:sSubPr>
                            <m:ctrlPr>
                              <a:rPr lang="en-US" sz="1100" i="1">
                                <a:latin typeface="Cambria Math" panose="02040503050406030204" pitchFamily="18" charset="0"/>
                              </a:rPr>
                            </m:ctrlPr>
                          </m:sSubPr>
                          <m:e>
                            <m:r>
                              <a:rPr lang="es-CO" sz="1100" b="0" i="1">
                                <a:latin typeface="Cambria Math" panose="02040503050406030204" pitchFamily="18" charset="0"/>
                              </a:rPr>
                              <m:t>𝑉</m:t>
                            </m:r>
                          </m:e>
                          <m:sub>
                            <m:r>
                              <a:rPr lang="es-CO" sz="1100" b="0" i="1">
                                <a:latin typeface="Cambria Math" panose="02040503050406030204" pitchFamily="18" charset="0"/>
                              </a:rPr>
                              <m:t>𝐿</m:t>
                            </m:r>
                            <m:r>
                              <a:rPr lang="es-CO" sz="1100" b="0" i="1">
                                <a:latin typeface="Cambria Math" panose="02040503050406030204" pitchFamily="18" charset="0"/>
                              </a:rPr>
                              <m:t>−</m:t>
                            </m:r>
                            <m:r>
                              <a:rPr lang="es-CO" sz="1100" b="0" i="1">
                                <a:latin typeface="Cambria Math" panose="02040503050406030204" pitchFamily="18" charset="0"/>
                              </a:rPr>
                              <m:t>𝐿</m:t>
                            </m:r>
                          </m:sub>
                        </m:sSub>
                      </m:den>
                    </m:f>
                  </m:oMath>
                </m:oMathPara>
              </a14:m>
              <a:endParaRPr lang="en-US" sz="1100"/>
            </a:p>
          </xdr:txBody>
        </xdr:sp>
      </mc:Choice>
      <mc:Fallback xmlns="">
        <xdr:sp macro="" textlink="">
          <xdr:nvSpPr>
            <xdr:cNvPr id="10" name="CuadroTexto 9">
              <a:extLst>
                <a:ext uri="{FF2B5EF4-FFF2-40B4-BE49-F238E27FC236}">
                  <a16:creationId xmlns:a16="http://schemas.microsoft.com/office/drawing/2014/main" id="{0E689734-5766-4077-9E2F-995EB442701A}"/>
                </a:ext>
              </a:extLst>
            </xdr:cNvPr>
            <xdr:cNvSpPr txBox="1"/>
          </xdr:nvSpPr>
          <xdr:spPr>
            <a:xfrm>
              <a:off x="3946922" y="40580071"/>
              <a:ext cx="300210" cy="345672"/>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𝑉𝐴</a:t>
              </a:r>
              <a:r>
                <a:rPr lang="en-US" sz="1100" b="0" i="0">
                  <a:latin typeface="Cambria Math" panose="02040503050406030204" pitchFamily="18" charset="0"/>
                </a:rPr>
                <a:t>/</a:t>
              </a:r>
              <a:r>
                <a:rPr lang="es-CO" sz="1100" b="0" i="0">
                  <a:latin typeface="Cambria Math" panose="02040503050406030204" pitchFamily="18" charset="0"/>
                </a:rPr>
                <a:t>𝑉</a:t>
              </a:r>
              <a:r>
                <a:rPr lang="en-US" sz="1100" b="0" i="0">
                  <a:latin typeface="Cambria Math" panose="02040503050406030204" pitchFamily="18" charset="0"/>
                </a:rPr>
                <a:t>_(</a:t>
              </a:r>
              <a:r>
                <a:rPr lang="es-CO" sz="1100" b="0" i="0">
                  <a:latin typeface="Cambria Math" panose="02040503050406030204" pitchFamily="18" charset="0"/>
                </a:rPr>
                <a:t>𝐿−𝐿</a:t>
              </a:r>
              <a:r>
                <a:rPr lang="en-US" sz="1100" b="0" i="0">
                  <a:latin typeface="Cambria Math" panose="02040503050406030204" pitchFamily="18" charset="0"/>
                </a:rPr>
                <a:t>)</a:t>
              </a:r>
              <a:r>
                <a:rPr lang="es-CO" sz="1100" b="0" i="0">
                  <a:latin typeface="Cambria Math" panose="02040503050406030204" pitchFamily="18" charset="0"/>
                </a:rPr>
                <a:t> </a:t>
              </a:r>
              <a:endParaRPr lang="en-US" sz="1100"/>
            </a:p>
          </xdr:txBody>
        </xdr:sp>
      </mc:Fallback>
    </mc:AlternateContent>
    <xdr:clientData/>
  </xdr:oneCellAnchor>
  <xdr:oneCellAnchor>
    <xdr:from>
      <xdr:col>20</xdr:col>
      <xdr:colOff>130968</xdr:colOff>
      <xdr:row>213</xdr:row>
      <xdr:rowOff>52496</xdr:rowOff>
    </xdr:from>
    <xdr:ext cx="601768" cy="366703"/>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5083968" y="40590896"/>
              <a:ext cx="601768" cy="36670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i="1">
                            <a:latin typeface="Cambria Math" panose="02040503050406030204" pitchFamily="18" charset="0"/>
                          </a:rPr>
                        </m:ctrlPr>
                      </m:fPr>
                      <m:num>
                        <m:r>
                          <a:rPr lang="es-CO" sz="1100" b="0" i="1">
                            <a:latin typeface="Cambria Math" panose="02040503050406030204" pitchFamily="18" charset="0"/>
                          </a:rPr>
                          <m:t>𝑉𝐴</m:t>
                        </m:r>
                      </m:num>
                      <m:den>
                        <m:sSub>
                          <m:sSubPr>
                            <m:ctrlPr>
                              <a:rPr lang="en-US" sz="1100" i="1">
                                <a:latin typeface="Cambria Math" panose="02040503050406030204" pitchFamily="18" charset="0"/>
                              </a:rPr>
                            </m:ctrlPr>
                          </m:sSubPr>
                          <m:e>
                            <m:rad>
                              <m:radPr>
                                <m:degHide m:val="on"/>
                                <m:ctrlPr>
                                  <a:rPr lang="en-US" sz="1100" i="1">
                                    <a:latin typeface="Cambria Math" panose="02040503050406030204" pitchFamily="18" charset="0"/>
                                  </a:rPr>
                                </m:ctrlPr>
                              </m:radPr>
                              <m:deg/>
                              <m:e>
                                <m:r>
                                  <a:rPr lang="es-CO" sz="1100" b="0" i="1">
                                    <a:latin typeface="Cambria Math" panose="02040503050406030204" pitchFamily="18" charset="0"/>
                                  </a:rPr>
                                  <m:t>3</m:t>
                                </m:r>
                              </m:e>
                            </m:rad>
                            <m:r>
                              <a:rPr lang="es-CO" sz="1100" b="0" i="1">
                                <a:latin typeface="Cambria Math" panose="02040503050406030204" pitchFamily="18" charset="0"/>
                              </a:rPr>
                              <m:t>∗</m:t>
                            </m:r>
                            <m:r>
                              <a:rPr lang="es-CO" sz="1100" b="0" i="1">
                                <a:latin typeface="Cambria Math" panose="02040503050406030204" pitchFamily="18" charset="0"/>
                              </a:rPr>
                              <m:t>𝑉</m:t>
                            </m:r>
                          </m:e>
                          <m:sub>
                            <m:r>
                              <a:rPr lang="es-CO" sz="1100" b="0" i="1">
                                <a:latin typeface="Cambria Math" panose="02040503050406030204" pitchFamily="18" charset="0"/>
                              </a:rPr>
                              <m:t>𝐿</m:t>
                            </m:r>
                            <m:r>
                              <a:rPr lang="es-CO" sz="1100" b="0" i="1">
                                <a:latin typeface="Cambria Math" panose="02040503050406030204" pitchFamily="18" charset="0"/>
                              </a:rPr>
                              <m:t>−</m:t>
                            </m:r>
                            <m:r>
                              <a:rPr lang="es-ES" sz="1100" b="0" i="1">
                                <a:latin typeface="Cambria Math" panose="02040503050406030204" pitchFamily="18" charset="0"/>
                              </a:rPr>
                              <m:t>𝐿</m:t>
                            </m:r>
                          </m:sub>
                        </m:sSub>
                      </m:den>
                    </m:f>
                  </m:oMath>
                </m:oMathPara>
              </a14:m>
              <a:endParaRPr lang="en-US" sz="1100"/>
            </a:p>
          </xdr:txBody>
        </xdr:sp>
      </mc:Choice>
      <mc:Fallback xmlns="">
        <xdr:sp macro="" textlink="">
          <xdr:nvSpPr>
            <xdr:cNvPr id="11" name="CuadroTexto 10">
              <a:extLst>
                <a:ext uri="{FF2B5EF4-FFF2-40B4-BE49-F238E27FC236}">
                  <a16:creationId xmlns:a16="http://schemas.microsoft.com/office/drawing/2014/main" id="{06A28D16-6772-4070-9972-0FFC1ABF6CFF}"/>
                </a:ext>
              </a:extLst>
            </xdr:cNvPr>
            <xdr:cNvSpPr txBox="1"/>
          </xdr:nvSpPr>
          <xdr:spPr>
            <a:xfrm>
              <a:off x="5083968" y="40590896"/>
              <a:ext cx="601768" cy="36670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𝑉𝐴</a:t>
              </a:r>
              <a:r>
                <a:rPr lang="en-US" sz="1100" b="0" i="0">
                  <a:latin typeface="Cambria Math" panose="02040503050406030204" pitchFamily="18" charset="0"/>
                </a:rPr>
                <a:t>/〖√</a:t>
              </a:r>
              <a:r>
                <a:rPr lang="es-CO" sz="1100" b="0" i="0">
                  <a:latin typeface="Cambria Math" panose="02040503050406030204" pitchFamily="18" charset="0"/>
                </a:rPr>
                <a:t>3∗𝑉</a:t>
              </a:r>
              <a:r>
                <a:rPr lang="en-US" sz="1100" b="0" i="0">
                  <a:latin typeface="Cambria Math" panose="02040503050406030204" pitchFamily="18" charset="0"/>
                </a:rPr>
                <a:t>〗_(</a:t>
              </a:r>
              <a:r>
                <a:rPr lang="es-CO" sz="1100" b="0" i="0">
                  <a:latin typeface="Cambria Math" panose="02040503050406030204" pitchFamily="18" charset="0"/>
                </a:rPr>
                <a:t>𝐿−</a:t>
              </a:r>
              <a:r>
                <a:rPr lang="es-ES" sz="1100" b="0" i="0">
                  <a:latin typeface="Cambria Math" panose="02040503050406030204" pitchFamily="18" charset="0"/>
                </a:rPr>
                <a:t>𝐿</a:t>
              </a:r>
              <a:r>
                <a:rPr lang="en-US" sz="1100" b="0" i="0">
                  <a:latin typeface="Cambria Math" panose="02040503050406030204" pitchFamily="18" charset="0"/>
                </a:rPr>
                <a:t>)</a:t>
              </a:r>
              <a:r>
                <a:rPr lang="es-ES" sz="1100" b="0" i="0">
                  <a:latin typeface="Cambria Math" panose="02040503050406030204" pitchFamily="18" charset="0"/>
                </a:rPr>
                <a:t> </a:t>
              </a:r>
              <a:endParaRPr lang="en-US" sz="1100"/>
            </a:p>
          </xdr:txBody>
        </xdr:sp>
      </mc:Fallback>
    </mc:AlternateContent>
    <xdr:clientData/>
  </xdr:oneCellAnchor>
  <xdr:oneCellAnchor>
    <xdr:from>
      <xdr:col>6</xdr:col>
      <xdr:colOff>103947</xdr:colOff>
      <xdr:row>418</xdr:row>
      <xdr:rowOff>123825</xdr:rowOff>
    </xdr:from>
    <xdr:ext cx="5248360" cy="457689"/>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1589847" y="81362550"/>
              <a:ext cx="5248360" cy="457689"/>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d>
                      <m:dPr>
                        <m:begChr m:val=""/>
                        <m:endChr m:val="}"/>
                        <m:ctrlPr>
                          <a:rPr lang="es-CO" sz="1100" i="1">
                            <a:latin typeface="Cambria Math" panose="02040503050406030204" pitchFamily="18" charset="0"/>
                          </a:rPr>
                        </m:ctrlPr>
                      </m:dPr>
                      <m:e>
                        <m:m>
                          <m:mPr>
                            <m:mcs>
                              <m:mc>
                                <m:mcPr>
                                  <m:count m:val="1"/>
                                  <m:mcJc m:val="center"/>
                                </m:mcPr>
                              </m:mc>
                            </m:mcs>
                            <m:ctrlPr>
                              <a:rPr lang="es-CO" sz="1100" i="1">
                                <a:latin typeface="Cambria Math" panose="02040503050406030204" pitchFamily="18" charset="0"/>
                              </a:rPr>
                            </m:ctrlPr>
                          </m:mPr>
                          <m:mr>
                            <m:e>
                              <m:r>
                                <m:rPr>
                                  <m:brk m:alnAt="7"/>
                                </m:rPr>
                                <a:rPr lang="es-ES" sz="1100" b="0" i="1">
                                  <a:latin typeface="Cambria Math" panose="02040503050406030204" pitchFamily="18" charset="0"/>
                                </a:rPr>
                                <m:t>1</m:t>
                              </m:r>
                              <m:r>
                                <a:rPr lang="es-ES" sz="1100" b="0" i="1">
                                  <a:latin typeface="Cambria Math" panose="02040503050406030204" pitchFamily="18" charset="0"/>
                                </a:rPr>
                                <m:t> </m:t>
                              </m:r>
                              <m:r>
                                <a:rPr lang="es-ES" sz="1100" b="0" i="1">
                                  <a:latin typeface="Cambria Math" panose="02040503050406030204" pitchFamily="18" charset="0"/>
                                </a:rPr>
                                <m:t>𝑐𝑜𝑛𝑑𝑢𝑐𝑡𝑜𝑟</m:t>
                              </m:r>
                              <m:r>
                                <a:rPr lang="es-ES" sz="1100" b="0" i="1">
                                  <a:latin typeface="Cambria Math" panose="02040503050406030204" pitchFamily="18" charset="0"/>
                                </a:rPr>
                                <m:t>−53%</m:t>
                              </m:r>
                            </m:e>
                          </m:mr>
                          <m:mr>
                            <m:e>
                              <m:r>
                                <a:rPr lang="es-ES" sz="1100" b="0" i="1">
                                  <a:latin typeface="Cambria Math" panose="02040503050406030204" pitchFamily="18" charset="0"/>
                                </a:rPr>
                                <m:t>2 </m:t>
                              </m:r>
                              <m:r>
                                <a:rPr lang="es-ES" sz="1100" b="0" i="1">
                                  <a:latin typeface="Cambria Math" panose="02040503050406030204" pitchFamily="18" charset="0"/>
                                </a:rPr>
                                <m:t>𝑐𝑜𝑛𝑑𝑢𝑐𝑡𝑜𝑟𝑒𝑠</m:t>
                              </m:r>
                              <m:r>
                                <a:rPr lang="es-ES" sz="1100" b="0" i="1">
                                  <a:latin typeface="Cambria Math" panose="02040503050406030204" pitchFamily="18" charset="0"/>
                                </a:rPr>
                                <m:t>−31%</m:t>
                              </m:r>
                            </m:e>
                          </m:mr>
                          <m:mr>
                            <m:e>
                              <m:r>
                                <a:rPr lang="es-ES" sz="1100" b="0" i="1">
                                  <a:latin typeface="Cambria Math" panose="02040503050406030204" pitchFamily="18" charset="0"/>
                                </a:rPr>
                                <m:t>𝑀</m:t>
                              </m:r>
                              <m:r>
                                <a:rPr lang="es-ES" sz="1100" b="0" i="1">
                                  <a:latin typeface="Cambria Math" panose="02040503050406030204" pitchFamily="18" charset="0"/>
                                </a:rPr>
                                <m:t>á</m:t>
                              </m:r>
                              <m:r>
                                <a:rPr lang="es-ES" sz="1100" b="0" i="1">
                                  <a:latin typeface="Cambria Math" panose="02040503050406030204" pitchFamily="18" charset="0"/>
                                </a:rPr>
                                <m:t>𝑠</m:t>
                              </m:r>
                              <m:r>
                                <a:rPr lang="es-ES" sz="1100" b="0" i="1">
                                  <a:latin typeface="Cambria Math" panose="02040503050406030204" pitchFamily="18" charset="0"/>
                                </a:rPr>
                                <m:t> </m:t>
                              </m:r>
                              <m:r>
                                <a:rPr lang="es-ES" sz="1100" b="0" i="1">
                                  <a:latin typeface="Cambria Math" panose="02040503050406030204" pitchFamily="18" charset="0"/>
                                </a:rPr>
                                <m:t>𝑑𝑒</m:t>
                              </m:r>
                              <m:r>
                                <a:rPr lang="es-ES" sz="1100" b="0" i="1">
                                  <a:latin typeface="Cambria Math" panose="02040503050406030204" pitchFamily="18" charset="0"/>
                                </a:rPr>
                                <m:t> 2 </m:t>
                              </m:r>
                              <m:r>
                                <a:rPr lang="es-ES" sz="1100" b="0" i="1">
                                  <a:latin typeface="Cambria Math" panose="02040503050406030204" pitchFamily="18" charset="0"/>
                                </a:rPr>
                                <m:t>𝑐𝑜𝑛𝑑𝑢𝑐𝑡𝑜𝑟𝑒𝑠</m:t>
                              </m:r>
                              <m:r>
                                <a:rPr lang="es-ES" sz="1100" b="0" i="1">
                                  <a:latin typeface="Cambria Math" panose="02040503050406030204" pitchFamily="18" charset="0"/>
                                </a:rPr>
                                <m:t>−40% </m:t>
                              </m:r>
                            </m:e>
                          </m:mr>
                        </m:m>
                      </m:e>
                    </m:d>
                    <m:r>
                      <a:rPr lang="es-ES" sz="1100" b="0" i="1">
                        <a:latin typeface="Cambria Math" panose="02040503050406030204" pitchFamily="18" charset="0"/>
                      </a:rPr>
                      <m:t>  </m:t>
                    </m:r>
                    <m:r>
                      <a:rPr lang="es-ES" sz="1100" i="1">
                        <a:latin typeface="Cambria Math" panose="02040503050406030204" pitchFamily="18" charset="0"/>
                      </a:rPr>
                      <m:t>𝑃</m:t>
                    </m:r>
                    <m:r>
                      <a:rPr lang="es-ES" sz="1100" b="0" i="1">
                        <a:latin typeface="Cambria Math" panose="02040503050406030204" pitchFamily="18" charset="0"/>
                      </a:rPr>
                      <m:t>𝑜𝑟𝑐𝑒𝑛𝑡𝑎𝑗𝑒</m:t>
                    </m:r>
                    <m:r>
                      <a:rPr lang="es-CO" sz="1100" i="1">
                        <a:latin typeface="Cambria Math" panose="02040503050406030204" pitchFamily="18" charset="0"/>
                        <a:ea typeface="Cambria Math" panose="02040503050406030204" pitchFamily="18" charset="0"/>
                      </a:rPr>
                      <m:t>&gt;</m:t>
                    </m:r>
                    <m:r>
                      <a:rPr lang="es-ES" sz="1100" b="0" i="1">
                        <a:latin typeface="Cambria Math" panose="02040503050406030204" pitchFamily="18" charset="0"/>
                        <a:ea typeface="Cambria Math" panose="02040503050406030204" pitchFamily="18" charset="0"/>
                      </a:rPr>
                      <m:t> </m:t>
                    </m:r>
                    <m:f>
                      <m:fPr>
                        <m:ctrlPr>
                          <a:rPr lang="es-CO" sz="1100" i="1">
                            <a:latin typeface="Cambria Math" panose="02040503050406030204" pitchFamily="18" charset="0"/>
                          </a:rPr>
                        </m:ctrlPr>
                      </m:fPr>
                      <m:num>
                        <m:r>
                          <a:rPr lang="es-ES" sz="1100" b="0" i="1">
                            <a:latin typeface="Cambria Math" panose="02040503050406030204" pitchFamily="18" charset="0"/>
                          </a:rPr>
                          <m:t>Á</m:t>
                        </m:r>
                        <m:r>
                          <a:rPr lang="es-ES" sz="1100" b="0" i="1">
                            <a:latin typeface="Cambria Math" panose="02040503050406030204" pitchFamily="18" charset="0"/>
                          </a:rPr>
                          <m:t>𝑟𝑒𝑎</m:t>
                        </m:r>
                        <m:r>
                          <a:rPr lang="es-ES" sz="1100" b="0" i="1">
                            <a:latin typeface="Cambria Math" panose="02040503050406030204" pitchFamily="18" charset="0"/>
                          </a:rPr>
                          <m:t> </m:t>
                        </m:r>
                        <m:r>
                          <a:rPr lang="es-ES" sz="1100" b="0" i="1">
                            <a:latin typeface="Cambria Math" panose="02040503050406030204" pitchFamily="18" charset="0"/>
                          </a:rPr>
                          <m:t>𝑐𝑜𝑛𝑑𝑢𝑐𝑡𝑜𝑟</m:t>
                        </m:r>
                        <m:r>
                          <a:rPr lang="es-ES" sz="1100" b="0" i="1">
                            <a:latin typeface="Cambria Math" panose="02040503050406030204" pitchFamily="18" charset="0"/>
                          </a:rPr>
                          <m:t> </m:t>
                        </m:r>
                        <m:r>
                          <a:rPr lang="es-ES" sz="1100" b="0" i="1">
                            <a:latin typeface="Cambria Math" panose="02040503050406030204" pitchFamily="18" charset="0"/>
                          </a:rPr>
                          <m:t>𝑜</m:t>
                        </m:r>
                        <m:r>
                          <a:rPr lang="es-ES" sz="1100" b="0" i="1">
                            <a:latin typeface="Cambria Math" panose="02040503050406030204" pitchFamily="18" charset="0"/>
                          </a:rPr>
                          <m:t> </m:t>
                        </m:r>
                        <m:r>
                          <a:rPr lang="es-ES" sz="1100" b="0" i="1">
                            <a:latin typeface="Cambria Math" panose="02040503050406030204" pitchFamily="18" charset="0"/>
                          </a:rPr>
                          <m:t>𝑐𝑜𝑛𝑑𝑢𝑐𝑡𝑜𝑟𝑒𝑠</m:t>
                        </m:r>
                      </m:num>
                      <m:den>
                        <m:r>
                          <a:rPr lang="es-ES" sz="1100" b="0" i="1">
                            <a:latin typeface="Cambria Math" panose="02040503050406030204" pitchFamily="18" charset="0"/>
                          </a:rPr>
                          <m:t>Á</m:t>
                        </m:r>
                        <m:r>
                          <a:rPr lang="es-ES" sz="1100" b="0" i="1">
                            <a:latin typeface="Cambria Math" panose="02040503050406030204" pitchFamily="18" charset="0"/>
                          </a:rPr>
                          <m:t>𝑟𝑒𝑎</m:t>
                        </m:r>
                        <m:r>
                          <a:rPr lang="es-ES" sz="1100" b="0" i="1">
                            <a:latin typeface="Cambria Math" panose="02040503050406030204" pitchFamily="18" charset="0"/>
                          </a:rPr>
                          <m:t> </m:t>
                        </m:r>
                        <m:r>
                          <a:rPr lang="es-ES" sz="1100" b="0" i="1">
                            <a:latin typeface="Cambria Math" panose="02040503050406030204" pitchFamily="18" charset="0"/>
                          </a:rPr>
                          <m:t>𝑑𝑢𝑐𝑡𝑜</m:t>
                        </m:r>
                        <m:r>
                          <a:rPr lang="es-ES" sz="1100" b="0" i="1">
                            <a:latin typeface="Cambria Math" panose="02040503050406030204" pitchFamily="18" charset="0"/>
                          </a:rPr>
                          <m:t> </m:t>
                        </m:r>
                        <m:r>
                          <a:rPr lang="es-ES" sz="1100" b="0" i="1">
                            <a:latin typeface="Cambria Math" panose="02040503050406030204" pitchFamily="18" charset="0"/>
                          </a:rPr>
                          <m:t>𝑝𝑒𝑟𝑚𝑖𝑠𝑖𝑏𝑙𝑒</m:t>
                        </m:r>
                        <m:r>
                          <a:rPr lang="es-ES" sz="1100" b="0" i="1">
                            <a:latin typeface="Cambria Math" panose="02040503050406030204" pitchFamily="18" charset="0"/>
                          </a:rPr>
                          <m:t> </m:t>
                        </m:r>
                      </m:den>
                    </m:f>
                    <m:r>
                      <a:rPr lang="es-ES" sz="1100" b="0" i="1">
                        <a:latin typeface="Cambria Math" panose="02040503050406030204" pitchFamily="18" charset="0"/>
                      </a:rPr>
                      <m:t>∗100 </m:t>
                    </m:r>
                  </m:oMath>
                </m:oMathPara>
              </a14:m>
              <a:endParaRPr lang="es-CO" sz="1100"/>
            </a:p>
          </xdr:txBody>
        </xdr:sp>
      </mc:Choice>
      <mc:Fallback xmlns="">
        <xdr:sp macro="" textlink="">
          <xdr:nvSpPr>
            <xdr:cNvPr id="12" name="CuadroTexto 11">
              <a:extLst>
                <a:ext uri="{FF2B5EF4-FFF2-40B4-BE49-F238E27FC236}">
                  <a16:creationId xmlns:a16="http://schemas.microsoft.com/office/drawing/2014/main" id="{21963BD0-3AE8-427F-A549-067BEEE74B15}"/>
                </a:ext>
              </a:extLst>
            </xdr:cNvPr>
            <xdr:cNvSpPr txBox="1"/>
          </xdr:nvSpPr>
          <xdr:spPr>
            <a:xfrm>
              <a:off x="1589847" y="81362550"/>
              <a:ext cx="5248360" cy="457689"/>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i="0">
                  <a:latin typeface="Cambria Math" panose="02040503050406030204" pitchFamily="18" charset="0"/>
                </a:rPr>
                <a:t>├ ■8(</a:t>
              </a:r>
              <a:r>
                <a:rPr lang="es-ES" sz="1100" b="0" i="0">
                  <a:latin typeface="Cambria Math" panose="02040503050406030204" pitchFamily="18" charset="0"/>
                </a:rPr>
                <a:t>1 𝑐𝑜𝑛𝑑𝑢𝑐𝑡𝑜𝑟−53%@2 𝑐𝑜𝑛𝑑𝑢𝑐𝑡𝑜𝑟𝑒𝑠−31%@𝑀á𝑠 𝑑𝑒 2 𝑐𝑜𝑛𝑑𝑢𝑐𝑡𝑜𝑟𝑒𝑠−40% )}   </a:t>
              </a:r>
              <a:r>
                <a:rPr lang="es-ES" sz="1100" i="0">
                  <a:latin typeface="Cambria Math" panose="02040503050406030204" pitchFamily="18" charset="0"/>
                </a:rPr>
                <a:t>𝑃</a:t>
              </a:r>
              <a:r>
                <a:rPr lang="es-ES" sz="1100" b="0" i="0">
                  <a:latin typeface="Cambria Math" panose="02040503050406030204" pitchFamily="18" charset="0"/>
                </a:rPr>
                <a:t>𝑜𝑟𝑐𝑒𝑛𝑡𝑎𝑗𝑒</a:t>
              </a:r>
              <a:r>
                <a:rPr lang="es-CO" sz="1100" i="0">
                  <a:latin typeface="Cambria Math" panose="02040503050406030204" pitchFamily="18" charset="0"/>
                  <a:ea typeface="Cambria Math" panose="02040503050406030204" pitchFamily="18" charset="0"/>
                </a:rPr>
                <a:t>&gt;</a:t>
              </a:r>
              <a:r>
                <a:rPr lang="es-ES" sz="1100" b="0" i="0">
                  <a:latin typeface="Cambria Math" panose="02040503050406030204" pitchFamily="18" charset="0"/>
                  <a:ea typeface="Cambria Math" panose="02040503050406030204" pitchFamily="18" charset="0"/>
                </a:rPr>
                <a:t> </a:t>
              </a:r>
              <a:r>
                <a:rPr lang="es-ES" sz="1100" b="0" i="0">
                  <a:latin typeface="Cambria Math" panose="02040503050406030204" pitchFamily="18" charset="0"/>
                </a:rPr>
                <a:t> </a:t>
              </a:r>
              <a:r>
                <a:rPr lang="es-CO" sz="1100" b="0" i="0">
                  <a:latin typeface="Cambria Math" panose="02040503050406030204" pitchFamily="18" charset="0"/>
                </a:rPr>
                <a:t>(</a:t>
              </a:r>
              <a:r>
                <a:rPr lang="es-ES" sz="1100" b="0" i="0">
                  <a:latin typeface="Cambria Math" panose="02040503050406030204" pitchFamily="18" charset="0"/>
                </a:rPr>
                <a:t>Á𝑟𝑒𝑎 𝑐𝑜𝑛𝑑𝑢𝑐𝑡𝑜𝑟 𝑜 𝑐𝑜𝑛𝑑𝑢𝑐𝑡𝑜𝑟𝑒𝑠</a:t>
              </a:r>
              <a:r>
                <a:rPr lang="es-CO" sz="1100" b="0" i="0">
                  <a:latin typeface="Cambria Math" panose="02040503050406030204" pitchFamily="18" charset="0"/>
                </a:rPr>
                <a:t>)/(</a:t>
              </a:r>
              <a:r>
                <a:rPr lang="es-ES" sz="1100" b="0" i="0">
                  <a:latin typeface="Cambria Math" panose="02040503050406030204" pitchFamily="18" charset="0"/>
                </a:rPr>
                <a:t>Á𝑟𝑒𝑎 𝑑𝑢𝑐𝑡𝑜 𝑝𝑒𝑟𝑚𝑖𝑠𝑖𝑏𝑙𝑒 </a:t>
              </a:r>
              <a:r>
                <a:rPr lang="es-CO" sz="1100" b="0" i="0">
                  <a:latin typeface="Cambria Math" panose="02040503050406030204" pitchFamily="18" charset="0"/>
                </a:rPr>
                <a:t>)</a:t>
              </a:r>
              <a:r>
                <a:rPr lang="es-ES" sz="1100" b="0" i="0">
                  <a:latin typeface="Cambria Math" panose="02040503050406030204" pitchFamily="18" charset="0"/>
                </a:rPr>
                <a:t>∗100 </a:t>
              </a:r>
              <a:endParaRPr lang="es-CO" sz="1100"/>
            </a:p>
          </xdr:txBody>
        </xdr:sp>
      </mc:Fallback>
    </mc:AlternateContent>
    <xdr:clientData/>
  </xdr:oneCellAnchor>
  <xdr:oneCellAnchor>
    <xdr:from>
      <xdr:col>11</xdr:col>
      <xdr:colOff>38099</xdr:colOff>
      <xdr:row>314</xdr:row>
      <xdr:rowOff>9525</xdr:rowOff>
    </xdr:from>
    <xdr:ext cx="2257426" cy="219163"/>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100-00000D000000}"/>
                </a:ext>
              </a:extLst>
            </xdr:cNvPr>
            <xdr:cNvSpPr txBox="1"/>
          </xdr:nvSpPr>
          <xdr:spPr>
            <a:xfrm>
              <a:off x="2762249" y="59493150"/>
              <a:ext cx="2257426" cy="21916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𝑉</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𝐼𝑅</m:t>
                    </m:r>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cos</m:t>
                        </m:r>
                      </m:fName>
                      <m:e>
                        <m:r>
                          <a:rPr lang="es-ES" sz="1400" b="0" i="1">
                            <a:latin typeface="Cambria Math" panose="02040503050406030204" pitchFamily="18" charset="0"/>
                            <a:ea typeface="Cambria Math" panose="02040503050406030204" pitchFamily="18" charset="0"/>
                          </a:rPr>
                          <m:t>𝜑</m:t>
                        </m:r>
                      </m:e>
                    </m:func>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𝐼𝑋</m:t>
                    </m:r>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sin</m:t>
                        </m:r>
                      </m:fName>
                      <m:e>
                        <m:r>
                          <a:rPr lang="es-ES" sz="1400" b="0" i="1">
                            <a:latin typeface="Cambria Math" panose="02040503050406030204" pitchFamily="18" charset="0"/>
                            <a:ea typeface="Cambria Math" panose="02040503050406030204" pitchFamily="18" charset="0"/>
                          </a:rPr>
                          <m:t>𝜑</m:t>
                        </m:r>
                      </m:e>
                    </m:func>
                  </m:oMath>
                </m:oMathPara>
              </a14:m>
              <a:endParaRPr lang="es-CO" sz="1400"/>
            </a:p>
          </xdr:txBody>
        </xdr:sp>
      </mc:Choice>
      <mc:Fallback xmlns="">
        <xdr:sp macro="" textlink="">
          <xdr:nvSpPr>
            <xdr:cNvPr id="13" name="CuadroTexto 12">
              <a:extLst>
                <a:ext uri="{FF2B5EF4-FFF2-40B4-BE49-F238E27FC236}">
                  <a16:creationId xmlns:a16="http://schemas.microsoft.com/office/drawing/2014/main" id="{1839A991-D98C-4AE6-BB98-E1AF3BD4A651}"/>
                </a:ext>
              </a:extLst>
            </xdr:cNvPr>
            <xdr:cNvSpPr txBox="1"/>
          </xdr:nvSpPr>
          <xdr:spPr>
            <a:xfrm>
              <a:off x="2762249" y="59493150"/>
              <a:ext cx="2257426" cy="21916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∆𝑉=𝐼𝑅 cos⁡𝜑+𝐼𝑋 sin⁡𝜑</a:t>
              </a:r>
              <a:endParaRPr lang="es-CO" sz="1400"/>
            </a:p>
          </xdr:txBody>
        </xdr:sp>
      </mc:Fallback>
    </mc:AlternateContent>
    <xdr:clientData/>
  </xdr:oneCellAnchor>
  <xdr:oneCellAnchor>
    <xdr:from>
      <xdr:col>11</xdr:col>
      <xdr:colOff>28574</xdr:colOff>
      <xdr:row>316</xdr:row>
      <xdr:rowOff>19050</xdr:rowOff>
    </xdr:from>
    <xdr:ext cx="2257426" cy="219163"/>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100-00000E000000}"/>
                </a:ext>
              </a:extLst>
            </xdr:cNvPr>
            <xdr:cNvSpPr txBox="1"/>
          </xdr:nvSpPr>
          <xdr:spPr>
            <a:xfrm>
              <a:off x="2752724" y="59836050"/>
              <a:ext cx="2257426" cy="21916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𝑉</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𝐼</m:t>
                    </m:r>
                    <m:d>
                      <m:dPr>
                        <m:begChr m:val="["/>
                        <m:endChr m:val="]"/>
                        <m:ctrlPr>
                          <a:rPr lang="es-ES" sz="1400" b="0" i="1">
                            <a:latin typeface="Cambria Math" panose="02040503050406030204" pitchFamily="18" charset="0"/>
                            <a:ea typeface="Cambria Math" panose="02040503050406030204" pitchFamily="18" charset="0"/>
                          </a:rPr>
                        </m:ctrlPr>
                      </m:dPr>
                      <m:e>
                        <m:r>
                          <a:rPr lang="es-ES" sz="1400" b="0" i="1">
                            <a:solidFill>
                              <a:schemeClr val="tx1"/>
                            </a:solidFill>
                            <a:effectLst/>
                            <a:latin typeface="Cambria Math" panose="02040503050406030204" pitchFamily="18" charset="0"/>
                            <a:ea typeface="+mn-ea"/>
                            <a:cs typeface="+mn-cs"/>
                          </a:rPr>
                          <m:t>𝑅</m:t>
                        </m:r>
                        <m:func>
                          <m:funcPr>
                            <m:ctrlPr>
                              <a:rPr lang="es-ES" sz="1400" b="0" i="1">
                                <a:solidFill>
                                  <a:schemeClr val="tx1"/>
                                </a:solidFill>
                                <a:effectLst/>
                                <a:latin typeface="Cambria Math" panose="02040503050406030204" pitchFamily="18" charset="0"/>
                                <a:ea typeface="+mn-ea"/>
                                <a:cs typeface="+mn-cs"/>
                              </a:rPr>
                            </m:ctrlPr>
                          </m:funcPr>
                          <m:fName>
                            <m:r>
                              <m:rPr>
                                <m:sty m:val="p"/>
                              </m:rPr>
                              <a:rPr lang="es-ES" sz="1400" b="0" i="0">
                                <a:solidFill>
                                  <a:schemeClr val="tx1"/>
                                </a:solidFill>
                                <a:effectLst/>
                                <a:latin typeface="Cambria Math" panose="02040503050406030204" pitchFamily="18" charset="0"/>
                                <a:ea typeface="+mn-ea"/>
                                <a:cs typeface="+mn-cs"/>
                              </a:rPr>
                              <m:t>cos</m:t>
                            </m:r>
                          </m:fName>
                          <m:e>
                            <m:r>
                              <a:rPr lang="es-ES" sz="1400" b="0" i="1">
                                <a:solidFill>
                                  <a:schemeClr val="tx1"/>
                                </a:solidFill>
                                <a:effectLst/>
                                <a:latin typeface="Cambria Math" panose="02040503050406030204" pitchFamily="18" charset="0"/>
                                <a:ea typeface="+mn-ea"/>
                                <a:cs typeface="+mn-cs"/>
                              </a:rPr>
                              <m:t>𝜑</m:t>
                            </m:r>
                          </m:e>
                        </m:func>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𝑋</m:t>
                        </m:r>
                        <m:func>
                          <m:funcPr>
                            <m:ctrlPr>
                              <a:rPr lang="es-ES" sz="1400" b="0" i="1">
                                <a:solidFill>
                                  <a:schemeClr val="tx1"/>
                                </a:solidFill>
                                <a:effectLst/>
                                <a:latin typeface="Cambria Math" panose="02040503050406030204" pitchFamily="18" charset="0"/>
                                <a:ea typeface="+mn-ea"/>
                                <a:cs typeface="+mn-cs"/>
                              </a:rPr>
                            </m:ctrlPr>
                          </m:funcPr>
                          <m:fName>
                            <m:r>
                              <m:rPr>
                                <m:sty m:val="p"/>
                              </m:rPr>
                              <a:rPr lang="es-ES" sz="1400" b="0" i="0">
                                <a:solidFill>
                                  <a:schemeClr val="tx1"/>
                                </a:solidFill>
                                <a:effectLst/>
                                <a:latin typeface="Cambria Math" panose="02040503050406030204" pitchFamily="18" charset="0"/>
                                <a:ea typeface="+mn-ea"/>
                                <a:cs typeface="+mn-cs"/>
                              </a:rPr>
                              <m:t>sin</m:t>
                            </m:r>
                          </m:fName>
                          <m:e>
                            <m:r>
                              <a:rPr lang="es-ES" sz="1400" b="0" i="1">
                                <a:solidFill>
                                  <a:schemeClr val="tx1"/>
                                </a:solidFill>
                                <a:effectLst/>
                                <a:latin typeface="Cambria Math" panose="02040503050406030204" pitchFamily="18" charset="0"/>
                                <a:ea typeface="+mn-ea"/>
                                <a:cs typeface="+mn-cs"/>
                              </a:rPr>
                              <m:t>𝜑</m:t>
                            </m:r>
                            <m:r>
                              <a:rPr lang="es-ES" sz="1400" b="0" i="1">
                                <a:solidFill>
                                  <a:schemeClr val="tx1"/>
                                </a:solidFill>
                                <a:effectLst/>
                                <a:latin typeface="Cambria Math" panose="02040503050406030204" pitchFamily="18" charset="0"/>
                                <a:ea typeface="+mn-ea"/>
                                <a:cs typeface="+mn-cs"/>
                              </a:rPr>
                              <m:t> </m:t>
                            </m:r>
                          </m:e>
                        </m:func>
                      </m:e>
                    </m:d>
                  </m:oMath>
                </m:oMathPara>
              </a14:m>
              <a:endParaRPr lang="es-CO" sz="1400"/>
            </a:p>
          </xdr:txBody>
        </xdr:sp>
      </mc:Choice>
      <mc:Fallback xmlns="">
        <xdr:sp macro="" textlink="">
          <xdr:nvSpPr>
            <xdr:cNvPr id="14" name="CuadroTexto 13">
              <a:extLst>
                <a:ext uri="{FF2B5EF4-FFF2-40B4-BE49-F238E27FC236}">
                  <a16:creationId xmlns:a16="http://schemas.microsoft.com/office/drawing/2014/main" id="{60B116C9-D7C6-4934-8B11-C378385246D5}"/>
                </a:ext>
              </a:extLst>
            </xdr:cNvPr>
            <xdr:cNvSpPr txBox="1"/>
          </xdr:nvSpPr>
          <xdr:spPr>
            <a:xfrm>
              <a:off x="2752724" y="59836050"/>
              <a:ext cx="2257426" cy="21916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∆𝑉=𝐼[</a:t>
              </a:r>
              <a:r>
                <a:rPr lang="es-ES" sz="1400" b="0" i="0">
                  <a:solidFill>
                    <a:schemeClr val="tx1"/>
                  </a:solidFill>
                  <a:effectLst/>
                  <a:latin typeface="Cambria Math" panose="02040503050406030204" pitchFamily="18" charset="0"/>
                  <a:ea typeface="+mn-ea"/>
                  <a:cs typeface="+mn-cs"/>
                </a:rPr>
                <a:t>𝑅 cos⁡𝜑+𝑋 sin⁡〖𝜑 〗 ]</a:t>
              </a:r>
              <a:endParaRPr lang="es-CO" sz="1400"/>
            </a:p>
          </xdr:txBody>
        </xdr:sp>
      </mc:Fallback>
    </mc:AlternateContent>
    <xdr:clientData/>
  </xdr:oneCellAnchor>
  <xdr:oneCellAnchor>
    <xdr:from>
      <xdr:col>11</xdr:col>
      <xdr:colOff>38099</xdr:colOff>
      <xdr:row>318</xdr:row>
      <xdr:rowOff>0</xdr:rowOff>
    </xdr:from>
    <xdr:ext cx="2257426" cy="41049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100-00000F000000}"/>
                </a:ext>
              </a:extLst>
            </xdr:cNvPr>
            <xdr:cNvSpPr txBox="1"/>
          </xdr:nvSpPr>
          <xdr:spPr>
            <a:xfrm>
              <a:off x="2762249" y="60236100"/>
              <a:ext cx="2257426" cy="410497"/>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400" b="0" i="1">
                            <a:latin typeface="Cambria Math" panose="02040503050406030204" pitchFamily="18" charset="0"/>
                            <a:ea typeface="Cambria Math" panose="02040503050406030204" pitchFamily="18" charset="0"/>
                          </a:rPr>
                        </m:ctrlPr>
                      </m:sSubPr>
                      <m:e>
                        <m:r>
                          <a:rPr lang="es-ES" sz="1400" b="0" i="1">
                            <a:latin typeface="Cambria Math" panose="02040503050406030204" pitchFamily="18" charset="0"/>
                            <a:ea typeface="Cambria Math" panose="02040503050406030204" pitchFamily="18" charset="0"/>
                          </a:rPr>
                          <m:t>𝑍</m:t>
                        </m:r>
                      </m:e>
                      <m:sub>
                        <m:r>
                          <a:rPr lang="es-ES" sz="1400" b="0" i="1">
                            <a:latin typeface="Cambria Math" panose="02040503050406030204" pitchFamily="18" charset="0"/>
                            <a:ea typeface="Cambria Math" panose="02040503050406030204" pitchFamily="18" charset="0"/>
                          </a:rPr>
                          <m:t>𝐶</m:t>
                        </m:r>
                      </m:sub>
                    </m:sSub>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𝑅</m:t>
                    </m:r>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cos</m:t>
                        </m:r>
                      </m:fName>
                      <m:e>
                        <m:r>
                          <a:rPr lang="es-ES" sz="1400" b="0" i="1">
                            <a:latin typeface="Cambria Math" panose="02040503050406030204" pitchFamily="18" charset="0"/>
                            <a:ea typeface="Cambria Math" panose="02040503050406030204" pitchFamily="18" charset="0"/>
                          </a:rPr>
                          <m:t>𝜑</m:t>
                        </m:r>
                      </m:e>
                    </m:func>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𝑋</m:t>
                    </m:r>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sin</m:t>
                        </m:r>
                      </m:fName>
                      <m:e>
                        <m:r>
                          <a:rPr lang="es-ES" sz="1400" b="0" i="1">
                            <a:latin typeface="Cambria Math" panose="02040503050406030204" pitchFamily="18" charset="0"/>
                            <a:ea typeface="Cambria Math" panose="02040503050406030204" pitchFamily="18" charset="0"/>
                          </a:rPr>
                          <m:t>𝜑</m:t>
                        </m:r>
                      </m:e>
                    </m:func>
                    <m:r>
                      <a:rPr lang="es-ES" sz="1400" b="0" i="1">
                        <a:latin typeface="Cambria Math" panose="02040503050406030204" pitchFamily="18" charset="0"/>
                        <a:ea typeface="Cambria Math" panose="02040503050406030204" pitchFamily="18" charset="0"/>
                      </a:rPr>
                      <m:t> </m:t>
                    </m:r>
                    <m:d>
                      <m:dPr>
                        <m:begChr m:val="["/>
                        <m:endChr m:val="]"/>
                        <m:ctrlPr>
                          <a:rPr lang="es-ES" sz="1400" b="0" i="1">
                            <a:latin typeface="Cambria Math" panose="02040503050406030204" pitchFamily="18" charset="0"/>
                            <a:ea typeface="Cambria Math" panose="02040503050406030204" pitchFamily="18" charset="0"/>
                          </a:rPr>
                        </m:ctrlPr>
                      </m:dPr>
                      <m:e>
                        <m:f>
                          <m:fPr>
                            <m:ctrlPr>
                              <a:rPr lang="es-ES" sz="1400" b="0" i="1">
                                <a:latin typeface="Cambria Math" panose="02040503050406030204" pitchFamily="18" charset="0"/>
                                <a:ea typeface="Cambria Math" panose="02040503050406030204" pitchFamily="18" charset="0"/>
                              </a:rPr>
                            </m:ctrlPr>
                          </m:fPr>
                          <m:num>
                            <m:r>
                              <a:rPr lang="el-GR" sz="1400" b="0" i="1">
                                <a:latin typeface="Cambria Math" panose="02040503050406030204" pitchFamily="18" charset="0"/>
                                <a:ea typeface="Cambria Math" panose="02040503050406030204" pitchFamily="18" charset="0"/>
                              </a:rPr>
                              <m:t>Ω</m:t>
                            </m:r>
                          </m:num>
                          <m:den>
                            <m:r>
                              <a:rPr lang="es-ES" sz="1400" b="0" i="1">
                                <a:latin typeface="Cambria Math" panose="02040503050406030204" pitchFamily="18" charset="0"/>
                                <a:ea typeface="Cambria Math" panose="02040503050406030204" pitchFamily="18" charset="0"/>
                              </a:rPr>
                              <m:t>𝑘𝑚</m:t>
                            </m:r>
                          </m:den>
                        </m:f>
                      </m:e>
                    </m:d>
                  </m:oMath>
                </m:oMathPara>
              </a14:m>
              <a:endParaRPr lang="es-CO" sz="1400"/>
            </a:p>
          </xdr:txBody>
        </xdr:sp>
      </mc:Choice>
      <mc:Fallback xmlns="">
        <xdr:sp macro="" textlink="">
          <xdr:nvSpPr>
            <xdr:cNvPr id="15" name="CuadroTexto 14">
              <a:extLst>
                <a:ext uri="{FF2B5EF4-FFF2-40B4-BE49-F238E27FC236}">
                  <a16:creationId xmlns:a16="http://schemas.microsoft.com/office/drawing/2014/main" id="{BFB0FF41-673E-4B97-AE7F-BCD077A4B43F}"/>
                </a:ext>
              </a:extLst>
            </xdr:cNvPr>
            <xdr:cNvSpPr txBox="1"/>
          </xdr:nvSpPr>
          <xdr:spPr>
            <a:xfrm>
              <a:off x="2762249" y="60236100"/>
              <a:ext cx="2257426" cy="410497"/>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𝑍_𝐶=𝑅 cos⁡𝜑+𝑋 sin⁡𝜑  [</a:t>
              </a:r>
              <a:r>
                <a:rPr lang="el-GR" sz="1400" b="0" i="0">
                  <a:latin typeface="Cambria Math" panose="02040503050406030204" pitchFamily="18" charset="0"/>
                  <a:ea typeface="Cambria Math" panose="02040503050406030204" pitchFamily="18" charset="0"/>
                </a:rPr>
                <a:t>Ω</a:t>
              </a:r>
              <a:r>
                <a:rPr lang="es-ES" sz="1400" b="0" i="0">
                  <a:latin typeface="Cambria Math" panose="02040503050406030204" pitchFamily="18" charset="0"/>
                  <a:ea typeface="Cambria Math" panose="02040503050406030204" pitchFamily="18" charset="0"/>
                </a:rPr>
                <a:t>/𝑘𝑚]</a:t>
              </a:r>
              <a:endParaRPr lang="es-CO" sz="1400"/>
            </a:p>
          </xdr:txBody>
        </xdr:sp>
      </mc:Fallback>
    </mc:AlternateContent>
    <xdr:clientData/>
  </xdr:oneCellAnchor>
  <xdr:oneCellAnchor>
    <xdr:from>
      <xdr:col>11</xdr:col>
      <xdr:colOff>47624</xdr:colOff>
      <xdr:row>319</xdr:row>
      <xdr:rowOff>134592</xdr:rowOff>
    </xdr:from>
    <xdr:ext cx="2257426" cy="410497"/>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100-000010000000}"/>
                </a:ext>
              </a:extLst>
            </xdr:cNvPr>
            <xdr:cNvSpPr txBox="1"/>
          </xdr:nvSpPr>
          <xdr:spPr>
            <a:xfrm>
              <a:off x="2771774" y="60770742"/>
              <a:ext cx="2257426" cy="410497"/>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𝑉</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𝐼</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𝐴</m:t>
                    </m:r>
                    <m:r>
                      <a:rPr lang="es-ES" sz="1400" b="0" i="1">
                        <a:latin typeface="Cambria Math" panose="02040503050406030204" pitchFamily="18" charset="0"/>
                        <a:ea typeface="Cambria Math" panose="02040503050406030204" pitchFamily="18" charset="0"/>
                      </a:rPr>
                      <m:t>]∗</m:t>
                    </m:r>
                    <m:sSub>
                      <m:sSubPr>
                        <m:ctrlPr>
                          <a:rPr lang="es-ES" sz="1400" b="0" i="1">
                            <a:solidFill>
                              <a:schemeClr val="tx1"/>
                            </a:solidFill>
                            <a:effectLst/>
                            <a:latin typeface="Cambria Math" panose="02040503050406030204" pitchFamily="18" charset="0"/>
                            <a:ea typeface="+mn-ea"/>
                            <a:cs typeface="+mn-cs"/>
                          </a:rPr>
                        </m:ctrlPr>
                      </m:sSubPr>
                      <m:e>
                        <m:r>
                          <a:rPr lang="es-ES" sz="1400" b="0" i="1">
                            <a:solidFill>
                              <a:schemeClr val="tx1"/>
                            </a:solidFill>
                            <a:effectLst/>
                            <a:latin typeface="Cambria Math" panose="02040503050406030204" pitchFamily="18" charset="0"/>
                            <a:ea typeface="+mn-ea"/>
                            <a:cs typeface="+mn-cs"/>
                          </a:rPr>
                          <m:t>𝑍</m:t>
                        </m:r>
                      </m:e>
                      <m:sub>
                        <m:r>
                          <a:rPr lang="es-ES" sz="1400" b="0" i="1">
                            <a:solidFill>
                              <a:schemeClr val="tx1"/>
                            </a:solidFill>
                            <a:effectLst/>
                            <a:latin typeface="Cambria Math" panose="02040503050406030204" pitchFamily="18" charset="0"/>
                            <a:ea typeface="+mn-ea"/>
                            <a:cs typeface="+mn-cs"/>
                          </a:rPr>
                          <m:t>𝐶</m:t>
                        </m:r>
                      </m:sub>
                    </m:sSub>
                    <m:r>
                      <a:rPr lang="es-ES" sz="1400" b="0" i="1">
                        <a:solidFill>
                          <a:schemeClr val="tx1"/>
                        </a:solidFill>
                        <a:effectLst/>
                        <a:latin typeface="Cambria Math" panose="02040503050406030204" pitchFamily="18" charset="0"/>
                        <a:ea typeface="+mn-ea"/>
                        <a:cs typeface="+mn-cs"/>
                      </a:rPr>
                      <m:t>  </m:t>
                    </m:r>
                    <m:d>
                      <m:dPr>
                        <m:begChr m:val="["/>
                        <m:endChr m:val="]"/>
                        <m:ctrlPr>
                          <a:rPr lang="es-ES" sz="1400" b="0" i="1">
                            <a:solidFill>
                              <a:schemeClr val="tx1"/>
                            </a:solidFill>
                            <a:effectLst/>
                            <a:latin typeface="Cambria Math" panose="02040503050406030204" pitchFamily="18" charset="0"/>
                            <a:ea typeface="+mn-ea"/>
                            <a:cs typeface="+mn-cs"/>
                          </a:rPr>
                        </m:ctrlPr>
                      </m:dPr>
                      <m:e>
                        <m:f>
                          <m:fPr>
                            <m:ctrlPr>
                              <a:rPr lang="es-ES" sz="1400" b="0" i="1">
                                <a:solidFill>
                                  <a:schemeClr val="tx1"/>
                                </a:solidFill>
                                <a:effectLst/>
                                <a:latin typeface="Cambria Math" panose="02040503050406030204" pitchFamily="18" charset="0"/>
                                <a:ea typeface="+mn-ea"/>
                                <a:cs typeface="+mn-cs"/>
                              </a:rPr>
                            </m:ctrlPr>
                          </m:fPr>
                          <m:num>
                            <m:r>
                              <a:rPr lang="el-GR" sz="1400" b="0" i="1">
                                <a:solidFill>
                                  <a:schemeClr val="tx1"/>
                                </a:solidFill>
                                <a:effectLst/>
                                <a:latin typeface="Cambria Math" panose="02040503050406030204" pitchFamily="18" charset="0"/>
                                <a:ea typeface="+mn-ea"/>
                                <a:cs typeface="+mn-cs"/>
                              </a:rPr>
                              <m:t>Ω</m:t>
                            </m:r>
                          </m:num>
                          <m:den>
                            <m:r>
                              <a:rPr lang="es-ES" sz="1400" b="0" i="1">
                                <a:solidFill>
                                  <a:schemeClr val="tx1"/>
                                </a:solidFill>
                                <a:effectLst/>
                                <a:latin typeface="Cambria Math" panose="02040503050406030204" pitchFamily="18" charset="0"/>
                                <a:ea typeface="+mn-ea"/>
                                <a:cs typeface="+mn-cs"/>
                              </a:rPr>
                              <m:t>𝑘𝑚</m:t>
                            </m:r>
                          </m:den>
                        </m:f>
                      </m:e>
                    </m:d>
                  </m:oMath>
                </m:oMathPara>
              </a14:m>
              <a:endParaRPr lang="es-CO" sz="1400"/>
            </a:p>
          </xdr:txBody>
        </xdr:sp>
      </mc:Choice>
      <mc:Fallback xmlns="">
        <xdr:sp macro="" textlink="">
          <xdr:nvSpPr>
            <xdr:cNvPr id="16" name="CuadroTexto 15">
              <a:extLst>
                <a:ext uri="{FF2B5EF4-FFF2-40B4-BE49-F238E27FC236}">
                  <a16:creationId xmlns:a16="http://schemas.microsoft.com/office/drawing/2014/main" id="{DB38D5EC-F1A9-4F7E-93F2-0438C0CF0990}"/>
                </a:ext>
              </a:extLst>
            </xdr:cNvPr>
            <xdr:cNvSpPr txBox="1"/>
          </xdr:nvSpPr>
          <xdr:spPr>
            <a:xfrm>
              <a:off x="2771774" y="60770742"/>
              <a:ext cx="2257426" cy="410497"/>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∆𝑉=𝐼[𝐴]∗</a:t>
              </a:r>
              <a:r>
                <a:rPr lang="es-ES" sz="1400" b="0" i="0">
                  <a:solidFill>
                    <a:schemeClr val="tx1"/>
                  </a:solidFill>
                  <a:effectLst/>
                  <a:latin typeface="Cambria Math" panose="02040503050406030204" pitchFamily="18" charset="0"/>
                  <a:ea typeface="+mn-ea"/>
                  <a:cs typeface="+mn-cs"/>
                </a:rPr>
                <a:t>𝑍_𝐶   [</a:t>
              </a:r>
              <a:r>
                <a:rPr lang="el-GR" sz="1400" b="0" i="0">
                  <a:solidFill>
                    <a:schemeClr val="tx1"/>
                  </a:solidFill>
                  <a:effectLst/>
                  <a:latin typeface="Cambria Math" panose="02040503050406030204" pitchFamily="18" charset="0"/>
                  <a:ea typeface="+mn-ea"/>
                  <a:cs typeface="+mn-cs"/>
                </a:rPr>
                <a:t>Ω</a:t>
              </a:r>
              <a:r>
                <a:rPr lang="es-ES" sz="1400" b="0" i="0">
                  <a:solidFill>
                    <a:schemeClr val="tx1"/>
                  </a:solidFill>
                  <a:effectLst/>
                  <a:latin typeface="Cambria Math" panose="02040503050406030204" pitchFamily="18" charset="0"/>
                  <a:ea typeface="+mn-ea"/>
                  <a:cs typeface="+mn-cs"/>
                </a:rPr>
                <a:t>/𝑘𝑚]</a:t>
              </a:r>
              <a:endParaRPr lang="es-CO" sz="1400"/>
            </a:p>
          </xdr:txBody>
        </xdr:sp>
      </mc:Fallback>
    </mc:AlternateContent>
    <xdr:clientData/>
  </xdr:oneCellAnchor>
  <xdr:oneCellAnchor>
    <xdr:from>
      <xdr:col>9</xdr:col>
      <xdr:colOff>209550</xdr:colOff>
      <xdr:row>328</xdr:row>
      <xdr:rowOff>126309</xdr:rowOff>
    </xdr:from>
    <xdr:ext cx="2583754" cy="410497"/>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100-000011000000}"/>
                </a:ext>
              </a:extLst>
            </xdr:cNvPr>
            <xdr:cNvSpPr txBox="1"/>
          </xdr:nvSpPr>
          <xdr:spPr>
            <a:xfrm>
              <a:off x="2438400" y="62953209"/>
              <a:ext cx="2583754" cy="410497"/>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𝑉</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𝑘</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𝐿</m:t>
                    </m:r>
                    <m:d>
                      <m:dPr>
                        <m:begChr m:val="["/>
                        <m:endChr m:val="]"/>
                        <m:ctrlPr>
                          <a:rPr lang="es-ES" sz="1400" b="0" i="1">
                            <a:latin typeface="Cambria Math" panose="02040503050406030204" pitchFamily="18" charset="0"/>
                            <a:ea typeface="Cambria Math" panose="02040503050406030204" pitchFamily="18" charset="0"/>
                          </a:rPr>
                        </m:ctrlPr>
                      </m:dPr>
                      <m:e>
                        <m:r>
                          <a:rPr lang="es-ES" sz="1400" b="0" i="1">
                            <a:latin typeface="Cambria Math" panose="02040503050406030204" pitchFamily="18" charset="0"/>
                            <a:ea typeface="Cambria Math" panose="02040503050406030204" pitchFamily="18" charset="0"/>
                          </a:rPr>
                          <m:t>𝑚</m:t>
                        </m:r>
                      </m:e>
                    </m:d>
                    <m:r>
                      <a:rPr lang="es-ES" sz="1400" b="0" i="1">
                        <a:latin typeface="Cambria Math" panose="02040503050406030204" pitchFamily="18" charset="0"/>
                        <a:ea typeface="Cambria Math" panose="02040503050406030204" pitchFamily="18" charset="0"/>
                      </a:rPr>
                      <m:t>∗</m:t>
                    </m:r>
                    <m:r>
                      <a:rPr lang="es-ES" sz="1400" b="0" i="1">
                        <a:solidFill>
                          <a:schemeClr val="tx1"/>
                        </a:solidFill>
                        <a:effectLst/>
                        <a:latin typeface="Cambria Math" panose="02040503050406030204" pitchFamily="18" charset="0"/>
                        <a:ea typeface="+mn-ea"/>
                        <a:cs typeface="+mn-cs"/>
                      </a:rPr>
                      <m:t>𝐼</m:t>
                    </m:r>
                    <m:d>
                      <m:dPr>
                        <m:begChr m:val="["/>
                        <m:endChr m:val="]"/>
                        <m:ctrlPr>
                          <a:rPr lang="es-ES" sz="1400" b="0" i="1">
                            <a:solidFill>
                              <a:schemeClr val="tx1"/>
                            </a:solidFill>
                            <a:effectLst/>
                            <a:latin typeface="Cambria Math" panose="02040503050406030204" pitchFamily="18" charset="0"/>
                            <a:ea typeface="+mn-ea"/>
                            <a:cs typeface="+mn-cs"/>
                          </a:rPr>
                        </m:ctrlPr>
                      </m:dPr>
                      <m:e>
                        <m:r>
                          <a:rPr lang="es-ES" sz="1400" b="0" i="1">
                            <a:solidFill>
                              <a:schemeClr val="tx1"/>
                            </a:solidFill>
                            <a:effectLst/>
                            <a:latin typeface="Cambria Math" panose="02040503050406030204" pitchFamily="18" charset="0"/>
                            <a:ea typeface="+mn-ea"/>
                            <a:cs typeface="+mn-cs"/>
                          </a:rPr>
                          <m:t>𝐴</m:t>
                        </m:r>
                      </m:e>
                    </m:d>
                    <m:r>
                      <a:rPr lang="es-ES" sz="1400" b="0" i="1">
                        <a:solidFill>
                          <a:schemeClr val="tx1"/>
                        </a:solidFill>
                        <a:effectLst/>
                        <a:latin typeface="Cambria Math" panose="02040503050406030204" pitchFamily="18" charset="0"/>
                        <a:ea typeface="+mn-ea"/>
                        <a:cs typeface="+mn-cs"/>
                      </a:rPr>
                      <m:t>∗</m:t>
                    </m:r>
                    <m:sSub>
                      <m:sSubPr>
                        <m:ctrlPr>
                          <a:rPr lang="es-ES" sz="1400" b="0" i="1">
                            <a:solidFill>
                              <a:schemeClr val="tx1"/>
                            </a:solidFill>
                            <a:effectLst/>
                            <a:latin typeface="Cambria Math" panose="02040503050406030204" pitchFamily="18" charset="0"/>
                            <a:ea typeface="+mn-ea"/>
                            <a:cs typeface="+mn-cs"/>
                          </a:rPr>
                        </m:ctrlPr>
                      </m:sSubPr>
                      <m:e>
                        <m:r>
                          <a:rPr lang="es-ES" sz="1400" b="0" i="1">
                            <a:solidFill>
                              <a:schemeClr val="tx1"/>
                            </a:solidFill>
                            <a:effectLst/>
                            <a:latin typeface="Cambria Math" panose="02040503050406030204" pitchFamily="18" charset="0"/>
                            <a:ea typeface="+mn-ea"/>
                            <a:cs typeface="+mn-cs"/>
                          </a:rPr>
                          <m:t>𝑍</m:t>
                        </m:r>
                      </m:e>
                      <m:sub>
                        <m:r>
                          <a:rPr lang="es-ES" sz="1400" b="0" i="1">
                            <a:solidFill>
                              <a:schemeClr val="tx1"/>
                            </a:solidFill>
                            <a:effectLst/>
                            <a:latin typeface="Cambria Math" panose="02040503050406030204" pitchFamily="18" charset="0"/>
                            <a:ea typeface="+mn-ea"/>
                            <a:cs typeface="+mn-cs"/>
                          </a:rPr>
                          <m:t>𝐶</m:t>
                        </m:r>
                      </m:sub>
                    </m:sSub>
                    <m:r>
                      <a:rPr lang="es-ES" sz="1400" b="0" i="1">
                        <a:solidFill>
                          <a:schemeClr val="tx1"/>
                        </a:solidFill>
                        <a:effectLst/>
                        <a:latin typeface="Cambria Math" panose="02040503050406030204" pitchFamily="18" charset="0"/>
                        <a:ea typeface="+mn-ea"/>
                        <a:cs typeface="+mn-cs"/>
                      </a:rPr>
                      <m:t>  </m:t>
                    </m:r>
                    <m:d>
                      <m:dPr>
                        <m:begChr m:val="["/>
                        <m:endChr m:val="]"/>
                        <m:ctrlPr>
                          <a:rPr lang="es-ES" sz="1400" b="0" i="1">
                            <a:solidFill>
                              <a:schemeClr val="tx1"/>
                            </a:solidFill>
                            <a:effectLst/>
                            <a:latin typeface="Cambria Math" panose="02040503050406030204" pitchFamily="18" charset="0"/>
                            <a:ea typeface="+mn-ea"/>
                            <a:cs typeface="+mn-cs"/>
                          </a:rPr>
                        </m:ctrlPr>
                      </m:dPr>
                      <m:e>
                        <m:f>
                          <m:fPr>
                            <m:ctrlPr>
                              <a:rPr lang="es-ES" sz="1400" b="0" i="1">
                                <a:solidFill>
                                  <a:schemeClr val="tx1"/>
                                </a:solidFill>
                                <a:effectLst/>
                                <a:latin typeface="Cambria Math" panose="02040503050406030204" pitchFamily="18" charset="0"/>
                                <a:ea typeface="+mn-ea"/>
                                <a:cs typeface="+mn-cs"/>
                              </a:rPr>
                            </m:ctrlPr>
                          </m:fPr>
                          <m:num>
                            <m:r>
                              <a:rPr lang="el-GR" sz="1400" b="0" i="1">
                                <a:solidFill>
                                  <a:schemeClr val="tx1"/>
                                </a:solidFill>
                                <a:effectLst/>
                                <a:latin typeface="Cambria Math" panose="02040503050406030204" pitchFamily="18" charset="0"/>
                                <a:ea typeface="+mn-ea"/>
                                <a:cs typeface="+mn-cs"/>
                              </a:rPr>
                              <m:t>Ω</m:t>
                            </m:r>
                          </m:num>
                          <m:den>
                            <m:r>
                              <a:rPr lang="es-ES" sz="1400" b="0" i="1">
                                <a:solidFill>
                                  <a:schemeClr val="tx1"/>
                                </a:solidFill>
                                <a:effectLst/>
                                <a:latin typeface="Cambria Math" panose="02040503050406030204" pitchFamily="18" charset="0"/>
                                <a:ea typeface="+mn-ea"/>
                                <a:cs typeface="+mn-cs"/>
                              </a:rPr>
                              <m:t>𝑘𝑚</m:t>
                            </m:r>
                          </m:den>
                        </m:f>
                      </m:e>
                    </m:d>
                  </m:oMath>
                </m:oMathPara>
              </a14:m>
              <a:endParaRPr lang="es-CO" sz="1400"/>
            </a:p>
          </xdr:txBody>
        </xdr:sp>
      </mc:Choice>
      <mc:Fallback xmlns="">
        <xdr:sp macro="" textlink="">
          <xdr:nvSpPr>
            <xdr:cNvPr id="17" name="CuadroTexto 16">
              <a:extLst>
                <a:ext uri="{FF2B5EF4-FFF2-40B4-BE49-F238E27FC236}">
                  <a16:creationId xmlns:a16="http://schemas.microsoft.com/office/drawing/2014/main" id="{6BBD2C40-49F8-43EC-B500-046B3E1B5F30}"/>
                </a:ext>
              </a:extLst>
            </xdr:cNvPr>
            <xdr:cNvSpPr txBox="1"/>
          </xdr:nvSpPr>
          <xdr:spPr>
            <a:xfrm>
              <a:off x="2438400" y="62953209"/>
              <a:ext cx="2583754" cy="410497"/>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∆𝑉=𝑘∗𝐿[𝑚]∗</a:t>
              </a:r>
              <a:r>
                <a:rPr lang="es-ES" sz="1400" b="0" i="0">
                  <a:solidFill>
                    <a:schemeClr val="tx1"/>
                  </a:solidFill>
                  <a:effectLst/>
                  <a:latin typeface="Cambria Math" panose="02040503050406030204" pitchFamily="18" charset="0"/>
                  <a:ea typeface="+mn-ea"/>
                  <a:cs typeface="+mn-cs"/>
                </a:rPr>
                <a:t>𝐼[𝐴]∗𝑍_𝐶   [</a:t>
              </a:r>
              <a:r>
                <a:rPr lang="el-GR" sz="1400" b="0" i="0">
                  <a:solidFill>
                    <a:schemeClr val="tx1"/>
                  </a:solidFill>
                  <a:effectLst/>
                  <a:latin typeface="Cambria Math" panose="02040503050406030204" pitchFamily="18" charset="0"/>
                  <a:ea typeface="+mn-ea"/>
                  <a:cs typeface="+mn-cs"/>
                </a:rPr>
                <a:t>Ω</a:t>
              </a:r>
              <a:r>
                <a:rPr lang="es-ES" sz="1400" b="0" i="0">
                  <a:solidFill>
                    <a:schemeClr val="tx1"/>
                  </a:solidFill>
                  <a:effectLst/>
                  <a:latin typeface="Cambria Math" panose="02040503050406030204" pitchFamily="18" charset="0"/>
                  <a:ea typeface="+mn-ea"/>
                  <a:cs typeface="+mn-cs"/>
                </a:rPr>
                <a:t>/𝑘𝑚]</a:t>
              </a:r>
              <a:endParaRPr lang="es-CO" sz="1400"/>
            </a:p>
          </xdr:txBody>
        </xdr:sp>
      </mc:Fallback>
    </mc:AlternateContent>
    <xdr:clientData/>
  </xdr:oneCellAnchor>
  <xdr:oneCellAnchor>
    <xdr:from>
      <xdr:col>11</xdr:col>
      <xdr:colOff>4142</xdr:colOff>
      <xdr:row>338</xdr:row>
      <xdr:rowOff>104776</xdr:rowOff>
    </xdr:from>
    <xdr:ext cx="2257426" cy="264881"/>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100-000012000000}"/>
                </a:ext>
              </a:extLst>
            </xdr:cNvPr>
            <xdr:cNvSpPr txBox="1"/>
          </xdr:nvSpPr>
          <xdr:spPr>
            <a:xfrm>
              <a:off x="2728292" y="65341501"/>
              <a:ext cx="2257426" cy="264881"/>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sin</m:t>
                        </m:r>
                      </m:fName>
                      <m:e>
                        <m:r>
                          <a:rPr lang="es-ES" sz="1400" b="0" i="1">
                            <a:latin typeface="Cambria Math" panose="02040503050406030204" pitchFamily="18" charset="0"/>
                            <a:ea typeface="Cambria Math" panose="02040503050406030204" pitchFamily="18" charset="0"/>
                          </a:rPr>
                          <m:t>𝜑</m:t>
                        </m:r>
                      </m:e>
                    </m:func>
                    <m:r>
                      <a:rPr lang="es-ES" sz="1400" b="0" i="1">
                        <a:latin typeface="Cambria Math" panose="02040503050406030204" pitchFamily="18" charset="0"/>
                        <a:ea typeface="Cambria Math" panose="02040503050406030204" pitchFamily="18" charset="0"/>
                      </a:rPr>
                      <m:t>= </m:t>
                    </m:r>
                    <m:rad>
                      <m:radPr>
                        <m:degHide m:val="on"/>
                        <m:ctrlPr>
                          <a:rPr lang="es-ES" sz="1400" b="0" i="1">
                            <a:latin typeface="Cambria Math" panose="02040503050406030204" pitchFamily="18" charset="0"/>
                            <a:ea typeface="Cambria Math" panose="02040503050406030204" pitchFamily="18" charset="0"/>
                          </a:rPr>
                        </m:ctrlPr>
                      </m:radPr>
                      <m:deg/>
                      <m:e>
                        <m:r>
                          <a:rPr lang="es-ES" sz="1400" b="0" i="1">
                            <a:latin typeface="Cambria Math" panose="02040503050406030204" pitchFamily="18" charset="0"/>
                            <a:ea typeface="Cambria Math" panose="02040503050406030204" pitchFamily="18" charset="0"/>
                          </a:rPr>
                          <m:t>1−</m:t>
                        </m:r>
                        <m:sSup>
                          <m:sSupPr>
                            <m:ctrlPr>
                              <a:rPr lang="es-ES" sz="1400" b="0" i="1">
                                <a:latin typeface="Cambria Math" panose="02040503050406030204" pitchFamily="18" charset="0"/>
                                <a:ea typeface="Cambria Math" panose="02040503050406030204" pitchFamily="18" charset="0"/>
                              </a:rPr>
                            </m:ctrlPr>
                          </m:sSupPr>
                          <m:e>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cos</m:t>
                                </m:r>
                              </m:fName>
                              <m:e>
                                <m:r>
                                  <a:rPr lang="es-ES" sz="1400" b="0" i="1">
                                    <a:latin typeface="Cambria Math" panose="02040503050406030204" pitchFamily="18" charset="0"/>
                                    <a:ea typeface="Cambria Math" panose="02040503050406030204" pitchFamily="18" charset="0"/>
                                  </a:rPr>
                                  <m:t>𝜑</m:t>
                                </m:r>
                              </m:e>
                            </m:func>
                          </m:e>
                          <m:sup>
                            <m:r>
                              <a:rPr lang="es-ES" sz="1400" b="0" i="1">
                                <a:latin typeface="Cambria Math" panose="02040503050406030204" pitchFamily="18" charset="0"/>
                                <a:ea typeface="Cambria Math" panose="02040503050406030204" pitchFamily="18" charset="0"/>
                              </a:rPr>
                              <m:t>2</m:t>
                            </m:r>
                          </m:sup>
                        </m:sSup>
                      </m:e>
                    </m:rad>
                  </m:oMath>
                </m:oMathPara>
              </a14:m>
              <a:endParaRPr lang="es-CO" sz="1400"/>
            </a:p>
          </xdr:txBody>
        </xdr:sp>
      </mc:Choice>
      <mc:Fallback xmlns="">
        <xdr:sp macro="" textlink="">
          <xdr:nvSpPr>
            <xdr:cNvPr id="18" name="CuadroTexto 17">
              <a:extLst>
                <a:ext uri="{FF2B5EF4-FFF2-40B4-BE49-F238E27FC236}">
                  <a16:creationId xmlns:a16="http://schemas.microsoft.com/office/drawing/2014/main" id="{2EDF019E-25F5-4CA5-9492-3A1C7299BB68}"/>
                </a:ext>
              </a:extLst>
            </xdr:cNvPr>
            <xdr:cNvSpPr txBox="1"/>
          </xdr:nvSpPr>
          <xdr:spPr>
            <a:xfrm>
              <a:off x="2728292" y="65341501"/>
              <a:ext cx="2257426" cy="264881"/>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sin⁡𝜑= √(1−〖cos⁡𝜑〗^2 )</a:t>
              </a:r>
              <a:endParaRPr lang="es-CO" sz="1400"/>
            </a:p>
          </xdr:txBody>
        </xdr:sp>
      </mc:Fallback>
    </mc:AlternateContent>
    <xdr:clientData/>
  </xdr:oneCellAnchor>
  <xdr:oneCellAnchor>
    <xdr:from>
      <xdr:col>10</xdr:col>
      <xdr:colOff>247650</xdr:colOff>
      <xdr:row>343</xdr:row>
      <xdr:rowOff>0</xdr:rowOff>
    </xdr:from>
    <xdr:ext cx="2257426" cy="222625"/>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a:off x="2724150" y="66046350"/>
              <a:ext cx="2257426" cy="222625"/>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l-GR" sz="1400" b="0" i="1">
                        <a:latin typeface="Cambria Math" panose="02040503050406030204" pitchFamily="18" charset="0"/>
                        <a:ea typeface="Cambria Math" panose="02040503050406030204" pitchFamily="18" charset="0"/>
                      </a:rPr>
                      <m:t>φ</m:t>
                    </m:r>
                    <m:r>
                      <a:rPr lang="es-ES" sz="1400" b="0" i="1">
                        <a:latin typeface="Cambria Math" panose="02040503050406030204" pitchFamily="18" charset="0"/>
                        <a:ea typeface="Cambria Math" panose="02040503050406030204" pitchFamily="18" charset="0"/>
                      </a:rPr>
                      <m:t>=</m:t>
                    </m:r>
                    <m:func>
                      <m:funcPr>
                        <m:ctrlPr>
                          <a:rPr lang="es-ES" sz="1400" b="0" i="1">
                            <a:latin typeface="Cambria Math" panose="02040503050406030204" pitchFamily="18" charset="0"/>
                            <a:ea typeface="Cambria Math" panose="02040503050406030204" pitchFamily="18" charset="0"/>
                          </a:rPr>
                        </m:ctrlPr>
                      </m:funcPr>
                      <m:fName>
                        <m:sSup>
                          <m:sSupPr>
                            <m:ctrlPr>
                              <a:rPr lang="es-ES" sz="1400" b="0" i="1">
                                <a:latin typeface="Cambria Math" panose="02040503050406030204" pitchFamily="18" charset="0"/>
                                <a:ea typeface="Cambria Math" panose="02040503050406030204" pitchFamily="18" charset="0"/>
                              </a:rPr>
                            </m:ctrlPr>
                          </m:sSupPr>
                          <m:e>
                            <m:r>
                              <m:rPr>
                                <m:sty m:val="p"/>
                              </m:rPr>
                              <a:rPr lang="es-ES" sz="1400" b="0" i="0">
                                <a:latin typeface="Cambria Math" panose="02040503050406030204" pitchFamily="18" charset="0"/>
                                <a:ea typeface="Cambria Math" panose="02040503050406030204" pitchFamily="18" charset="0"/>
                              </a:rPr>
                              <m:t>cos</m:t>
                            </m:r>
                          </m:e>
                          <m:sup>
                            <m:r>
                              <a:rPr lang="es-ES" sz="1400" b="0" i="1">
                                <a:latin typeface="Cambria Math" panose="02040503050406030204" pitchFamily="18" charset="0"/>
                                <a:ea typeface="Cambria Math" panose="02040503050406030204" pitchFamily="18" charset="0"/>
                              </a:rPr>
                              <m:t>−1</m:t>
                            </m:r>
                          </m:sup>
                        </m:sSup>
                      </m:fName>
                      <m:e>
                        <m:d>
                          <m:dPr>
                            <m:ctrlPr>
                              <a:rPr lang="es-ES" sz="1400" b="0" i="1">
                                <a:latin typeface="Cambria Math" panose="02040503050406030204" pitchFamily="18" charset="0"/>
                                <a:ea typeface="Cambria Math" panose="02040503050406030204" pitchFamily="18" charset="0"/>
                              </a:rPr>
                            </m:ctrlPr>
                          </m:dPr>
                          <m:e>
                            <m:r>
                              <a:rPr lang="es-ES" sz="1400" b="0" i="1">
                                <a:latin typeface="Cambria Math" panose="02040503050406030204" pitchFamily="18" charset="0"/>
                                <a:ea typeface="Cambria Math" panose="02040503050406030204" pitchFamily="18" charset="0"/>
                              </a:rPr>
                              <m:t>𝐹𝑃</m:t>
                            </m:r>
                          </m:e>
                        </m:d>
                      </m:e>
                    </m:func>
                  </m:oMath>
                </m:oMathPara>
              </a14:m>
              <a:endParaRPr lang="es-CO" sz="1400"/>
            </a:p>
          </xdr:txBody>
        </xdr:sp>
      </mc:Choice>
      <mc:Fallback xmlns="">
        <xdr:sp macro="" textlink="">
          <xdr:nvSpPr>
            <xdr:cNvPr id="19" name="CuadroTexto 18">
              <a:extLst>
                <a:ext uri="{FF2B5EF4-FFF2-40B4-BE49-F238E27FC236}">
                  <a16:creationId xmlns:a16="http://schemas.microsoft.com/office/drawing/2014/main" id="{1704A9B9-910C-4947-BAD7-8C54E8C03741}"/>
                </a:ext>
              </a:extLst>
            </xdr:cNvPr>
            <xdr:cNvSpPr txBox="1"/>
          </xdr:nvSpPr>
          <xdr:spPr>
            <a:xfrm>
              <a:off x="2724150" y="66046350"/>
              <a:ext cx="2257426" cy="222625"/>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l-GR" sz="1400" b="0" i="0">
                  <a:latin typeface="Cambria Math" panose="02040503050406030204" pitchFamily="18" charset="0"/>
                  <a:ea typeface="Cambria Math" panose="02040503050406030204" pitchFamily="18" charset="0"/>
                </a:rPr>
                <a:t>φ</a:t>
              </a:r>
              <a:r>
                <a:rPr lang="es-ES" sz="1400" b="0" i="0">
                  <a:latin typeface="Cambria Math" panose="02040503050406030204" pitchFamily="18" charset="0"/>
                  <a:ea typeface="Cambria Math" panose="02040503050406030204" pitchFamily="18" charset="0"/>
                </a:rPr>
                <a:t>=cos^(−1)⁡(𝐹𝑃)</a:t>
              </a:r>
              <a:endParaRPr lang="es-CO" sz="1400"/>
            </a:p>
          </xdr:txBody>
        </xdr:sp>
      </mc:Fallback>
    </mc:AlternateContent>
    <xdr:clientData/>
  </xdr:oneCellAnchor>
  <xdr:oneCellAnchor>
    <xdr:from>
      <xdr:col>11</xdr:col>
      <xdr:colOff>62120</xdr:colOff>
      <xdr:row>344</xdr:row>
      <xdr:rowOff>78270</xdr:rowOff>
    </xdr:from>
    <xdr:ext cx="2257426" cy="277705"/>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100-000014000000}"/>
                </a:ext>
              </a:extLst>
            </xdr:cNvPr>
            <xdr:cNvSpPr txBox="1"/>
          </xdr:nvSpPr>
          <xdr:spPr>
            <a:xfrm>
              <a:off x="2786270" y="66334170"/>
              <a:ext cx="2257426" cy="277705"/>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sin</m:t>
                        </m:r>
                      </m:fName>
                      <m:e>
                        <m:r>
                          <a:rPr lang="es-ES" sz="1400" b="0" i="1">
                            <a:latin typeface="Cambria Math" panose="02040503050406030204" pitchFamily="18" charset="0"/>
                            <a:ea typeface="Cambria Math" panose="02040503050406030204" pitchFamily="18" charset="0"/>
                          </a:rPr>
                          <m:t>𝜑</m:t>
                        </m:r>
                      </m:e>
                    </m:func>
                    <m:r>
                      <a:rPr lang="es-ES" sz="1400" b="0" i="1">
                        <a:latin typeface="Cambria Math" panose="02040503050406030204" pitchFamily="18" charset="0"/>
                        <a:ea typeface="Cambria Math" panose="02040503050406030204" pitchFamily="18" charset="0"/>
                      </a:rPr>
                      <m:t>= </m:t>
                    </m:r>
                    <m:rad>
                      <m:radPr>
                        <m:degHide m:val="on"/>
                        <m:ctrlPr>
                          <a:rPr lang="es-ES" sz="1400" b="0" i="1">
                            <a:latin typeface="Cambria Math" panose="02040503050406030204" pitchFamily="18" charset="0"/>
                            <a:ea typeface="Cambria Math" panose="02040503050406030204" pitchFamily="18" charset="0"/>
                          </a:rPr>
                        </m:ctrlPr>
                      </m:radPr>
                      <m:deg/>
                      <m:e>
                        <m:r>
                          <a:rPr lang="es-ES" sz="1400" b="0" i="1">
                            <a:latin typeface="Cambria Math" panose="02040503050406030204" pitchFamily="18" charset="0"/>
                            <a:ea typeface="Cambria Math" panose="02040503050406030204" pitchFamily="18" charset="0"/>
                          </a:rPr>
                          <m:t>1−</m:t>
                        </m:r>
                        <m:sSup>
                          <m:sSupPr>
                            <m:ctrlPr>
                              <a:rPr lang="es-ES" sz="1400" b="0" i="1">
                                <a:latin typeface="Cambria Math" panose="02040503050406030204" pitchFamily="18" charset="0"/>
                                <a:ea typeface="Cambria Math" panose="02040503050406030204" pitchFamily="18" charset="0"/>
                              </a:rPr>
                            </m:ctrlPr>
                          </m:sSupPr>
                          <m:e>
                            <m:r>
                              <a:rPr lang="es-ES" sz="1400" b="0" i="1">
                                <a:latin typeface="Cambria Math" panose="02040503050406030204" pitchFamily="18" charset="0"/>
                                <a:ea typeface="Cambria Math" panose="02040503050406030204" pitchFamily="18" charset="0"/>
                              </a:rPr>
                              <m:t>𝐹𝑃</m:t>
                            </m:r>
                          </m:e>
                          <m:sup>
                            <m:r>
                              <a:rPr lang="es-ES" sz="1400" b="0" i="1">
                                <a:latin typeface="Cambria Math" panose="02040503050406030204" pitchFamily="18" charset="0"/>
                                <a:ea typeface="Cambria Math" panose="02040503050406030204" pitchFamily="18" charset="0"/>
                              </a:rPr>
                              <m:t>2</m:t>
                            </m:r>
                          </m:sup>
                        </m:sSup>
                      </m:e>
                    </m:rad>
                  </m:oMath>
                </m:oMathPara>
              </a14:m>
              <a:endParaRPr lang="es-CO" sz="1400"/>
            </a:p>
          </xdr:txBody>
        </xdr:sp>
      </mc:Choice>
      <mc:Fallback xmlns="">
        <xdr:sp macro="" textlink="">
          <xdr:nvSpPr>
            <xdr:cNvPr id="20" name="CuadroTexto 19">
              <a:extLst>
                <a:ext uri="{FF2B5EF4-FFF2-40B4-BE49-F238E27FC236}">
                  <a16:creationId xmlns:a16="http://schemas.microsoft.com/office/drawing/2014/main" id="{D8F872A4-FF58-4205-97DA-6BB62997DF5E}"/>
                </a:ext>
              </a:extLst>
            </xdr:cNvPr>
            <xdr:cNvSpPr txBox="1"/>
          </xdr:nvSpPr>
          <xdr:spPr>
            <a:xfrm>
              <a:off x="2786270" y="66334170"/>
              <a:ext cx="2257426" cy="277705"/>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sin⁡𝜑= √(1−〖𝐹𝑃〗^2 )</a:t>
              </a:r>
              <a:endParaRPr lang="es-CO" sz="1400"/>
            </a:p>
          </xdr:txBody>
        </xdr:sp>
      </mc:Fallback>
    </mc:AlternateContent>
    <xdr:clientData/>
  </xdr:oneCellAnchor>
  <xdr:oneCellAnchor>
    <xdr:from>
      <xdr:col>5</xdr:col>
      <xdr:colOff>231913</xdr:colOff>
      <xdr:row>347</xdr:row>
      <xdr:rowOff>0</xdr:rowOff>
    </xdr:from>
    <xdr:ext cx="3876261" cy="277705"/>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100-000015000000}"/>
                </a:ext>
              </a:extLst>
            </xdr:cNvPr>
            <xdr:cNvSpPr txBox="1"/>
          </xdr:nvSpPr>
          <xdr:spPr>
            <a:xfrm>
              <a:off x="1470163" y="66713100"/>
              <a:ext cx="3876261" cy="277705"/>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400" b="0" i="1">
                            <a:latin typeface="Cambria Math" panose="02040503050406030204" pitchFamily="18" charset="0"/>
                            <a:ea typeface="Cambria Math" panose="02040503050406030204" pitchFamily="18" charset="0"/>
                          </a:rPr>
                        </m:ctrlPr>
                      </m:sSubPr>
                      <m:e>
                        <m:r>
                          <a:rPr lang="es-ES" sz="1400" b="0" i="1">
                            <a:latin typeface="Cambria Math" panose="02040503050406030204" pitchFamily="18" charset="0"/>
                            <a:ea typeface="Cambria Math" panose="02040503050406030204" pitchFamily="18" charset="0"/>
                          </a:rPr>
                          <m:t>𝑍</m:t>
                        </m:r>
                      </m:e>
                      <m:sub>
                        <m:r>
                          <a:rPr lang="es-ES" sz="1400" b="0" i="1">
                            <a:latin typeface="Cambria Math" panose="02040503050406030204" pitchFamily="18" charset="0"/>
                            <a:ea typeface="Cambria Math" panose="02040503050406030204" pitchFamily="18" charset="0"/>
                          </a:rPr>
                          <m:t>𝐶</m:t>
                        </m:r>
                      </m:sub>
                    </m:sSub>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𝑅</m:t>
                    </m:r>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cos</m:t>
                        </m:r>
                      </m:fName>
                      <m:e>
                        <m:r>
                          <a:rPr lang="es-ES" sz="1400" b="0" i="1">
                            <a:latin typeface="Cambria Math" panose="02040503050406030204" pitchFamily="18" charset="0"/>
                            <a:ea typeface="Cambria Math" panose="02040503050406030204" pitchFamily="18" charset="0"/>
                          </a:rPr>
                          <m:t>𝜑</m:t>
                        </m:r>
                      </m:e>
                    </m:func>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𝑋</m:t>
                    </m:r>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sin</m:t>
                        </m:r>
                      </m:fName>
                      <m:e>
                        <m:r>
                          <a:rPr lang="es-ES" sz="1400" b="0" i="1">
                            <a:latin typeface="Cambria Math" panose="02040503050406030204" pitchFamily="18" charset="0"/>
                            <a:ea typeface="Cambria Math" panose="02040503050406030204" pitchFamily="18" charset="0"/>
                          </a:rPr>
                          <m:t>𝜑</m:t>
                        </m:r>
                      </m:e>
                    </m:func>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𝑅</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𝐹𝑃</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𝑋</m:t>
                    </m:r>
                    <m:rad>
                      <m:radPr>
                        <m:degHide m:val="on"/>
                        <m:ctrlPr>
                          <a:rPr lang="es-ES" sz="1400" b="0" i="1">
                            <a:solidFill>
                              <a:schemeClr val="tx1"/>
                            </a:solidFill>
                            <a:effectLst/>
                            <a:latin typeface="Cambria Math" panose="02040503050406030204" pitchFamily="18" charset="0"/>
                            <a:ea typeface="+mn-ea"/>
                            <a:cs typeface="+mn-cs"/>
                          </a:rPr>
                        </m:ctrlPr>
                      </m:radPr>
                      <m:deg/>
                      <m:e>
                        <m:r>
                          <a:rPr lang="es-ES" sz="1400" b="0" i="1">
                            <a:solidFill>
                              <a:schemeClr val="tx1"/>
                            </a:solidFill>
                            <a:effectLst/>
                            <a:latin typeface="Cambria Math" panose="02040503050406030204" pitchFamily="18" charset="0"/>
                            <a:ea typeface="+mn-ea"/>
                            <a:cs typeface="+mn-cs"/>
                          </a:rPr>
                          <m:t>1−</m:t>
                        </m:r>
                        <m:sSup>
                          <m:sSupPr>
                            <m:ctrlPr>
                              <a:rPr lang="es-ES" sz="1400" b="0" i="1">
                                <a:solidFill>
                                  <a:schemeClr val="tx1"/>
                                </a:solidFill>
                                <a:effectLst/>
                                <a:latin typeface="Cambria Math" panose="02040503050406030204" pitchFamily="18" charset="0"/>
                                <a:ea typeface="+mn-ea"/>
                                <a:cs typeface="+mn-cs"/>
                              </a:rPr>
                            </m:ctrlPr>
                          </m:sSupPr>
                          <m:e>
                            <m:r>
                              <a:rPr lang="es-ES" sz="1400" b="0" i="1">
                                <a:solidFill>
                                  <a:schemeClr val="tx1"/>
                                </a:solidFill>
                                <a:effectLst/>
                                <a:latin typeface="Cambria Math" panose="02040503050406030204" pitchFamily="18" charset="0"/>
                                <a:ea typeface="+mn-ea"/>
                                <a:cs typeface="+mn-cs"/>
                              </a:rPr>
                              <m:t>𝐹𝑃</m:t>
                            </m:r>
                          </m:e>
                          <m:sup>
                            <m:r>
                              <a:rPr lang="es-ES" sz="1400" b="0" i="1">
                                <a:solidFill>
                                  <a:schemeClr val="tx1"/>
                                </a:solidFill>
                                <a:effectLst/>
                                <a:latin typeface="Cambria Math" panose="02040503050406030204" pitchFamily="18" charset="0"/>
                                <a:ea typeface="+mn-ea"/>
                                <a:cs typeface="+mn-cs"/>
                              </a:rPr>
                              <m:t>2</m:t>
                            </m:r>
                          </m:sup>
                        </m:sSup>
                      </m:e>
                    </m:rad>
                  </m:oMath>
                </m:oMathPara>
              </a14:m>
              <a:endParaRPr lang="es-CO" sz="1400"/>
            </a:p>
          </xdr:txBody>
        </xdr:sp>
      </mc:Choice>
      <mc:Fallback xmlns="">
        <xdr:sp macro="" textlink="">
          <xdr:nvSpPr>
            <xdr:cNvPr id="21" name="CuadroTexto 20">
              <a:extLst>
                <a:ext uri="{FF2B5EF4-FFF2-40B4-BE49-F238E27FC236}">
                  <a16:creationId xmlns:a16="http://schemas.microsoft.com/office/drawing/2014/main" id="{63E712DD-D4D9-4F6E-9E16-81F268447CD3}"/>
                </a:ext>
              </a:extLst>
            </xdr:cNvPr>
            <xdr:cNvSpPr txBox="1"/>
          </xdr:nvSpPr>
          <xdr:spPr>
            <a:xfrm>
              <a:off x="1470163" y="66713100"/>
              <a:ext cx="3876261" cy="277705"/>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𝑍_𝐶=𝑅 cos⁡𝜑+𝑋 sin⁡𝜑=𝑅∗𝐹𝑃+𝑋</a:t>
              </a:r>
              <a:r>
                <a:rPr lang="es-ES" sz="1400" b="0" i="0">
                  <a:solidFill>
                    <a:schemeClr val="tx1"/>
                  </a:solidFill>
                  <a:effectLst/>
                  <a:latin typeface="Cambria Math" panose="02040503050406030204" pitchFamily="18" charset="0"/>
                  <a:ea typeface="+mn-ea"/>
                  <a:cs typeface="+mn-cs"/>
                </a:rPr>
                <a:t>√(1−〖𝐹𝑃〗^2 )</a:t>
              </a:r>
              <a:endParaRPr lang="es-CO" sz="1400"/>
            </a:p>
          </xdr:txBody>
        </xdr:sp>
      </mc:Fallback>
    </mc:AlternateContent>
    <xdr:clientData/>
  </xdr:oneCellAnchor>
  <xdr:oneCellAnchor>
    <xdr:from>
      <xdr:col>11</xdr:col>
      <xdr:colOff>16565</xdr:colOff>
      <xdr:row>341</xdr:row>
      <xdr:rowOff>0</xdr:rowOff>
    </xdr:from>
    <xdr:ext cx="2257426" cy="219163"/>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100-000016000000}"/>
                </a:ext>
              </a:extLst>
            </xdr:cNvPr>
            <xdr:cNvSpPr txBox="1"/>
          </xdr:nvSpPr>
          <xdr:spPr>
            <a:xfrm>
              <a:off x="2740715" y="65712975"/>
              <a:ext cx="2257426" cy="21916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unc>
                      <m:funcPr>
                        <m:ctrlPr>
                          <a:rPr lang="es-ES" sz="1400" b="0" i="1">
                            <a:latin typeface="Cambria Math" panose="02040503050406030204" pitchFamily="18" charset="0"/>
                            <a:ea typeface="Cambria Math" panose="02040503050406030204" pitchFamily="18" charset="0"/>
                          </a:rPr>
                        </m:ctrlPr>
                      </m:funcPr>
                      <m:fName>
                        <m:r>
                          <m:rPr>
                            <m:sty m:val="p"/>
                          </m:rPr>
                          <a:rPr lang="es-ES" sz="1400" b="0" i="0">
                            <a:latin typeface="Cambria Math" panose="02040503050406030204" pitchFamily="18" charset="0"/>
                            <a:ea typeface="Cambria Math" panose="02040503050406030204" pitchFamily="18" charset="0"/>
                          </a:rPr>
                          <m:t>cos</m:t>
                        </m:r>
                      </m:fName>
                      <m:e>
                        <m:r>
                          <a:rPr lang="es-ES" sz="1400" b="0" i="1">
                            <a:latin typeface="Cambria Math" panose="02040503050406030204" pitchFamily="18" charset="0"/>
                            <a:ea typeface="Cambria Math" panose="02040503050406030204" pitchFamily="18" charset="0"/>
                          </a:rPr>
                          <m:t>𝜑</m:t>
                        </m:r>
                      </m:e>
                    </m:func>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𝐹𝑃</m:t>
                    </m:r>
                  </m:oMath>
                </m:oMathPara>
              </a14:m>
              <a:endParaRPr lang="es-CO" sz="1400"/>
            </a:p>
          </xdr:txBody>
        </xdr:sp>
      </mc:Choice>
      <mc:Fallback xmlns="">
        <xdr:sp macro="" textlink="">
          <xdr:nvSpPr>
            <xdr:cNvPr id="22" name="CuadroTexto 21">
              <a:extLst>
                <a:ext uri="{FF2B5EF4-FFF2-40B4-BE49-F238E27FC236}">
                  <a16:creationId xmlns:a16="http://schemas.microsoft.com/office/drawing/2014/main" id="{956A9C39-3FF1-43C3-BD89-19A54D4B440E}"/>
                </a:ext>
              </a:extLst>
            </xdr:cNvPr>
            <xdr:cNvSpPr txBox="1"/>
          </xdr:nvSpPr>
          <xdr:spPr>
            <a:xfrm>
              <a:off x="2740715" y="65712975"/>
              <a:ext cx="2257426" cy="21916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cos⁡𝜑=𝐹𝑃</a:t>
              </a:r>
              <a:endParaRPr lang="es-CO" sz="1400"/>
            </a:p>
          </xdr:txBody>
        </xdr:sp>
      </mc:Fallback>
    </mc:AlternateContent>
    <xdr:clientData/>
  </xdr:oneCellAnchor>
  <xdr:oneCellAnchor>
    <xdr:from>
      <xdr:col>9</xdr:col>
      <xdr:colOff>0</xdr:colOff>
      <xdr:row>350</xdr:row>
      <xdr:rowOff>135005</xdr:rowOff>
    </xdr:from>
    <xdr:ext cx="2906365" cy="461793"/>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100-000017000000}"/>
                </a:ext>
              </a:extLst>
            </xdr:cNvPr>
            <xdr:cNvSpPr txBox="1"/>
          </xdr:nvSpPr>
          <xdr:spPr>
            <a:xfrm>
              <a:off x="2228850" y="67448180"/>
              <a:ext cx="2906365" cy="46179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𝑉</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𝑘</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𝐿</m:t>
                    </m:r>
                    <m:r>
                      <a:rPr lang="es-ES" sz="1400" b="0" i="1">
                        <a:latin typeface="Cambria Math" panose="02040503050406030204" pitchFamily="18" charset="0"/>
                        <a:ea typeface="Cambria Math" panose="02040503050406030204" pitchFamily="18" charset="0"/>
                      </a:rPr>
                      <m:t>∗</m:t>
                    </m:r>
                    <m:r>
                      <a:rPr lang="es-ES" sz="1400" b="0" i="1">
                        <a:latin typeface="Cambria Math" panose="02040503050406030204" pitchFamily="18" charset="0"/>
                        <a:ea typeface="Cambria Math" panose="02040503050406030204" pitchFamily="18" charset="0"/>
                      </a:rPr>
                      <m:t>𝐼</m:t>
                    </m:r>
                    <m:r>
                      <a:rPr lang="es-ES" sz="1400" b="0" i="1">
                        <a:latin typeface="Cambria Math" panose="02040503050406030204" pitchFamily="18" charset="0"/>
                        <a:ea typeface="Cambria Math" panose="02040503050406030204" pitchFamily="18" charset="0"/>
                      </a:rPr>
                      <m:t>∗</m:t>
                    </m:r>
                    <m:f>
                      <m:fPr>
                        <m:ctrlPr>
                          <a:rPr lang="es-ES" sz="1400" b="0" i="1">
                            <a:solidFill>
                              <a:schemeClr val="tx1"/>
                            </a:solidFill>
                            <a:effectLst/>
                            <a:latin typeface="Cambria Math" panose="02040503050406030204" pitchFamily="18" charset="0"/>
                            <a:ea typeface="+mn-ea"/>
                            <a:cs typeface="+mn-cs"/>
                          </a:rPr>
                        </m:ctrlPr>
                      </m:fPr>
                      <m:num>
                        <m:r>
                          <a:rPr lang="es-ES" sz="1400" b="0" i="1">
                            <a:solidFill>
                              <a:schemeClr val="tx1"/>
                            </a:solidFill>
                            <a:effectLst/>
                            <a:latin typeface="Cambria Math" panose="02040503050406030204" pitchFamily="18" charset="0"/>
                            <a:ea typeface="+mn-ea"/>
                            <a:cs typeface="+mn-cs"/>
                          </a:rPr>
                          <m:t>𝑅</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𝐹𝑃</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𝑋</m:t>
                        </m:r>
                        <m:rad>
                          <m:radPr>
                            <m:degHide m:val="on"/>
                            <m:ctrlPr>
                              <a:rPr lang="es-ES" sz="1400" b="0" i="1">
                                <a:solidFill>
                                  <a:schemeClr val="tx1"/>
                                </a:solidFill>
                                <a:effectLst/>
                                <a:latin typeface="Cambria Math" panose="02040503050406030204" pitchFamily="18" charset="0"/>
                                <a:ea typeface="+mn-ea"/>
                                <a:cs typeface="+mn-cs"/>
                              </a:rPr>
                            </m:ctrlPr>
                          </m:radPr>
                          <m:deg/>
                          <m:e>
                            <m:r>
                              <a:rPr lang="es-ES" sz="1400" b="0" i="1">
                                <a:solidFill>
                                  <a:schemeClr val="tx1"/>
                                </a:solidFill>
                                <a:effectLst/>
                                <a:latin typeface="Cambria Math" panose="02040503050406030204" pitchFamily="18" charset="0"/>
                                <a:ea typeface="+mn-ea"/>
                                <a:cs typeface="+mn-cs"/>
                              </a:rPr>
                              <m:t>1−</m:t>
                            </m:r>
                            <m:sSup>
                              <m:sSupPr>
                                <m:ctrlPr>
                                  <a:rPr lang="es-ES" sz="1400" b="0" i="1">
                                    <a:solidFill>
                                      <a:schemeClr val="tx1"/>
                                    </a:solidFill>
                                    <a:effectLst/>
                                    <a:latin typeface="Cambria Math" panose="02040503050406030204" pitchFamily="18" charset="0"/>
                                    <a:ea typeface="+mn-ea"/>
                                    <a:cs typeface="+mn-cs"/>
                                  </a:rPr>
                                </m:ctrlPr>
                              </m:sSupPr>
                              <m:e>
                                <m:r>
                                  <a:rPr lang="es-ES" sz="1400" b="0" i="1">
                                    <a:solidFill>
                                      <a:schemeClr val="tx1"/>
                                    </a:solidFill>
                                    <a:effectLst/>
                                    <a:latin typeface="Cambria Math" panose="02040503050406030204" pitchFamily="18" charset="0"/>
                                    <a:ea typeface="+mn-ea"/>
                                    <a:cs typeface="+mn-cs"/>
                                  </a:rPr>
                                  <m:t>𝐹𝑃</m:t>
                                </m:r>
                              </m:e>
                              <m:sup>
                                <m:r>
                                  <a:rPr lang="es-ES" sz="1400" b="0" i="1">
                                    <a:solidFill>
                                      <a:schemeClr val="tx1"/>
                                    </a:solidFill>
                                    <a:effectLst/>
                                    <a:latin typeface="Cambria Math" panose="02040503050406030204" pitchFamily="18" charset="0"/>
                                    <a:ea typeface="+mn-ea"/>
                                    <a:cs typeface="+mn-cs"/>
                                  </a:rPr>
                                  <m:t>2</m:t>
                                </m:r>
                              </m:sup>
                            </m:sSup>
                          </m:e>
                        </m:rad>
                      </m:num>
                      <m:den>
                        <m:r>
                          <a:rPr lang="es-ES" sz="1400" b="0" i="1">
                            <a:solidFill>
                              <a:schemeClr val="tx1"/>
                            </a:solidFill>
                            <a:effectLst/>
                            <a:latin typeface="Cambria Math" panose="02040503050406030204" pitchFamily="18" charset="0"/>
                            <a:ea typeface="+mn-ea"/>
                            <a:cs typeface="+mn-cs"/>
                          </a:rPr>
                          <m:t>1000</m:t>
                        </m:r>
                      </m:den>
                    </m:f>
                  </m:oMath>
                </m:oMathPara>
              </a14:m>
              <a:endParaRPr lang="es-CO" sz="1400"/>
            </a:p>
          </xdr:txBody>
        </xdr:sp>
      </mc:Choice>
      <mc:Fallback xmlns="">
        <xdr:sp macro="" textlink="">
          <xdr:nvSpPr>
            <xdr:cNvPr id="23" name="CuadroTexto 22">
              <a:extLst>
                <a:ext uri="{FF2B5EF4-FFF2-40B4-BE49-F238E27FC236}">
                  <a16:creationId xmlns:a16="http://schemas.microsoft.com/office/drawing/2014/main" id="{DB262E0D-0983-4DC8-95A5-D54D8D07A0BA}"/>
                </a:ext>
              </a:extLst>
            </xdr:cNvPr>
            <xdr:cNvSpPr txBox="1"/>
          </xdr:nvSpPr>
          <xdr:spPr>
            <a:xfrm>
              <a:off x="2228850" y="67448180"/>
              <a:ext cx="2906365" cy="46179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∆𝑉=𝑘∗𝐿∗𝐼∗</a:t>
              </a:r>
              <a:r>
                <a:rPr lang="es-ES" sz="1400" b="0" i="0">
                  <a:solidFill>
                    <a:schemeClr val="tx1"/>
                  </a:solidFill>
                  <a:effectLst/>
                  <a:latin typeface="Cambria Math" panose="02040503050406030204" pitchFamily="18" charset="0"/>
                  <a:ea typeface="+mn-ea"/>
                  <a:cs typeface="+mn-cs"/>
                </a:rPr>
                <a:t>(𝑅∗𝐹𝑃+𝑋√(1−〖𝐹𝑃〗^2 ))/1000</a:t>
              </a:r>
              <a:endParaRPr lang="es-CO" sz="1400"/>
            </a:p>
          </xdr:txBody>
        </xdr:sp>
      </mc:Fallback>
    </mc:AlternateContent>
    <xdr:clientData/>
  </xdr:oneCellAnchor>
  <xdr:oneCellAnchor>
    <xdr:from>
      <xdr:col>4</xdr:col>
      <xdr:colOff>114301</xdr:colOff>
      <xdr:row>362</xdr:row>
      <xdr:rowOff>115955</xdr:rowOff>
    </xdr:from>
    <xdr:ext cx="4162422" cy="499560"/>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100-000018000000}"/>
                </a:ext>
              </a:extLst>
            </xdr:cNvPr>
            <xdr:cNvSpPr txBox="1"/>
          </xdr:nvSpPr>
          <xdr:spPr>
            <a:xfrm>
              <a:off x="1104901" y="70581905"/>
              <a:ext cx="4162422" cy="499560"/>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latin typeface="Cambria Math" panose="02040503050406030204" pitchFamily="18" charset="0"/>
                        <a:ea typeface="Cambria Math" panose="02040503050406030204" pitchFamily="18" charset="0"/>
                      </a:rPr>
                      <m:t>%</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𝑉</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𝑘</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𝐿</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𝐼</m:t>
                    </m:r>
                    <m:r>
                      <a:rPr lang="es-ES" sz="1400" b="0" i="1">
                        <a:solidFill>
                          <a:schemeClr val="tx1"/>
                        </a:solidFill>
                        <a:effectLst/>
                        <a:latin typeface="Cambria Math" panose="02040503050406030204" pitchFamily="18" charset="0"/>
                        <a:ea typeface="+mn-ea"/>
                        <a:cs typeface="+mn-cs"/>
                      </a:rPr>
                      <m:t>∗</m:t>
                    </m:r>
                    <m:f>
                      <m:fPr>
                        <m:ctrlPr>
                          <a:rPr lang="es-ES" sz="1400" b="0" i="1">
                            <a:solidFill>
                              <a:schemeClr val="tx1"/>
                            </a:solidFill>
                            <a:effectLst/>
                            <a:latin typeface="Cambria Math" panose="02040503050406030204" pitchFamily="18" charset="0"/>
                            <a:ea typeface="+mn-ea"/>
                            <a:cs typeface="+mn-cs"/>
                          </a:rPr>
                        </m:ctrlPr>
                      </m:fPr>
                      <m:num>
                        <m:r>
                          <a:rPr lang="es-ES" sz="1400" b="0" i="1">
                            <a:solidFill>
                              <a:schemeClr val="tx1"/>
                            </a:solidFill>
                            <a:effectLst/>
                            <a:latin typeface="Cambria Math" panose="02040503050406030204" pitchFamily="18" charset="0"/>
                            <a:ea typeface="+mn-ea"/>
                            <a:cs typeface="+mn-cs"/>
                          </a:rPr>
                          <m:t>𝑅</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𝐹𝑃</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𝑋</m:t>
                        </m:r>
                        <m:rad>
                          <m:radPr>
                            <m:degHide m:val="on"/>
                            <m:ctrlPr>
                              <a:rPr lang="es-ES" sz="1400" b="0" i="1">
                                <a:solidFill>
                                  <a:schemeClr val="tx1"/>
                                </a:solidFill>
                                <a:effectLst/>
                                <a:latin typeface="Cambria Math" panose="02040503050406030204" pitchFamily="18" charset="0"/>
                                <a:ea typeface="+mn-ea"/>
                                <a:cs typeface="+mn-cs"/>
                              </a:rPr>
                            </m:ctrlPr>
                          </m:radPr>
                          <m:deg/>
                          <m:e>
                            <m:r>
                              <a:rPr lang="es-ES" sz="1400" b="0" i="1">
                                <a:solidFill>
                                  <a:schemeClr val="tx1"/>
                                </a:solidFill>
                                <a:effectLst/>
                                <a:latin typeface="Cambria Math" panose="02040503050406030204" pitchFamily="18" charset="0"/>
                                <a:ea typeface="+mn-ea"/>
                                <a:cs typeface="+mn-cs"/>
                              </a:rPr>
                              <m:t>1−</m:t>
                            </m:r>
                            <m:sSup>
                              <m:sSupPr>
                                <m:ctrlPr>
                                  <a:rPr lang="es-ES" sz="1400" b="0" i="1">
                                    <a:solidFill>
                                      <a:schemeClr val="tx1"/>
                                    </a:solidFill>
                                    <a:effectLst/>
                                    <a:latin typeface="Cambria Math" panose="02040503050406030204" pitchFamily="18" charset="0"/>
                                    <a:ea typeface="+mn-ea"/>
                                    <a:cs typeface="+mn-cs"/>
                                  </a:rPr>
                                </m:ctrlPr>
                              </m:sSupPr>
                              <m:e>
                                <m:r>
                                  <a:rPr lang="es-ES" sz="1400" b="0" i="1">
                                    <a:solidFill>
                                      <a:schemeClr val="tx1"/>
                                    </a:solidFill>
                                    <a:effectLst/>
                                    <a:latin typeface="Cambria Math" panose="02040503050406030204" pitchFamily="18" charset="0"/>
                                    <a:ea typeface="+mn-ea"/>
                                    <a:cs typeface="+mn-cs"/>
                                  </a:rPr>
                                  <m:t>𝐹𝑃</m:t>
                                </m:r>
                              </m:e>
                              <m:sup>
                                <m:r>
                                  <a:rPr lang="es-ES" sz="1400" b="0" i="1">
                                    <a:solidFill>
                                      <a:schemeClr val="tx1"/>
                                    </a:solidFill>
                                    <a:effectLst/>
                                    <a:latin typeface="Cambria Math" panose="02040503050406030204" pitchFamily="18" charset="0"/>
                                    <a:ea typeface="+mn-ea"/>
                                    <a:cs typeface="+mn-cs"/>
                                  </a:rPr>
                                  <m:t>2</m:t>
                                </m:r>
                              </m:sup>
                            </m:sSup>
                          </m:e>
                        </m:rad>
                      </m:num>
                      <m:den>
                        <m:r>
                          <a:rPr lang="es-ES" sz="1400" b="0" i="1">
                            <a:solidFill>
                              <a:schemeClr val="tx1"/>
                            </a:solidFill>
                            <a:effectLst/>
                            <a:latin typeface="Cambria Math" panose="02040503050406030204" pitchFamily="18" charset="0"/>
                            <a:ea typeface="+mn-ea"/>
                            <a:cs typeface="+mn-cs"/>
                          </a:rPr>
                          <m:t>10∗</m:t>
                        </m:r>
                        <m:sSub>
                          <m:sSubPr>
                            <m:ctrlPr>
                              <a:rPr lang="es-ES" sz="1400" b="0" i="1">
                                <a:solidFill>
                                  <a:schemeClr val="tx1"/>
                                </a:solidFill>
                                <a:effectLst/>
                                <a:latin typeface="Cambria Math" panose="02040503050406030204" pitchFamily="18" charset="0"/>
                                <a:ea typeface="+mn-ea"/>
                                <a:cs typeface="+mn-cs"/>
                              </a:rPr>
                            </m:ctrlPr>
                          </m:sSubPr>
                          <m:e>
                            <m:r>
                              <a:rPr lang="es-ES" sz="1400" b="0" i="1">
                                <a:solidFill>
                                  <a:schemeClr val="tx1"/>
                                </a:solidFill>
                                <a:effectLst/>
                                <a:latin typeface="Cambria Math" panose="02040503050406030204" pitchFamily="18" charset="0"/>
                                <a:ea typeface="+mn-ea"/>
                                <a:cs typeface="+mn-cs"/>
                              </a:rPr>
                              <m:t>𝑉</m:t>
                            </m:r>
                          </m:e>
                          <m:sub>
                            <m:r>
                              <a:rPr lang="es-ES" sz="1400" b="0" i="1">
                                <a:solidFill>
                                  <a:schemeClr val="tx1"/>
                                </a:solidFill>
                                <a:effectLst/>
                                <a:latin typeface="Cambria Math" panose="02040503050406030204" pitchFamily="18" charset="0"/>
                                <a:ea typeface="+mn-ea"/>
                                <a:cs typeface="+mn-cs"/>
                              </a:rPr>
                              <m:t>𝑛</m:t>
                            </m:r>
                          </m:sub>
                        </m:sSub>
                        <m:r>
                          <a:rPr lang="es-ES" sz="1400" b="0" i="1">
                            <a:solidFill>
                              <a:schemeClr val="tx1"/>
                            </a:solidFill>
                            <a:effectLst/>
                            <a:latin typeface="Cambria Math" panose="02040503050406030204" pitchFamily="18" charset="0"/>
                            <a:ea typeface="+mn-ea"/>
                            <a:cs typeface="+mn-cs"/>
                          </a:rPr>
                          <m:t>∗# </m:t>
                        </m:r>
                        <m:r>
                          <a:rPr lang="es-ES" sz="1400" b="0" i="1">
                            <a:solidFill>
                              <a:schemeClr val="tx1"/>
                            </a:solidFill>
                            <a:effectLst/>
                            <a:latin typeface="Cambria Math" panose="02040503050406030204" pitchFamily="18" charset="0"/>
                            <a:ea typeface="+mn-ea"/>
                            <a:cs typeface="+mn-cs"/>
                          </a:rPr>
                          <m:t>𝐶𝑜𝑛𝑑𝑢𝑐𝑡𝑜𝑟</m:t>
                        </m:r>
                        <m:r>
                          <a:rPr lang="es-ES" sz="1400" b="0" i="1">
                            <a:solidFill>
                              <a:schemeClr val="tx1"/>
                            </a:solidFill>
                            <a:effectLst/>
                            <a:latin typeface="Cambria Math" panose="02040503050406030204" pitchFamily="18" charset="0"/>
                            <a:ea typeface="+mn-ea"/>
                            <a:cs typeface="+mn-cs"/>
                          </a:rPr>
                          <m:t> </m:t>
                        </m:r>
                        <m:r>
                          <a:rPr lang="es-ES" sz="1400" b="0" i="1">
                            <a:solidFill>
                              <a:schemeClr val="tx1"/>
                            </a:solidFill>
                            <a:effectLst/>
                            <a:latin typeface="Cambria Math" panose="02040503050406030204" pitchFamily="18" charset="0"/>
                            <a:ea typeface="+mn-ea"/>
                            <a:cs typeface="+mn-cs"/>
                          </a:rPr>
                          <m:t>𝑝𝑜𝑟</m:t>
                        </m:r>
                        <m:r>
                          <a:rPr lang="es-ES" sz="1400" b="0" i="1">
                            <a:solidFill>
                              <a:schemeClr val="tx1"/>
                            </a:solidFill>
                            <a:effectLst/>
                            <a:latin typeface="Cambria Math" panose="02040503050406030204" pitchFamily="18" charset="0"/>
                            <a:ea typeface="+mn-ea"/>
                            <a:cs typeface="+mn-cs"/>
                          </a:rPr>
                          <m:t> </m:t>
                        </m:r>
                        <m:r>
                          <a:rPr lang="es-ES" sz="1400" b="0" i="1">
                            <a:solidFill>
                              <a:schemeClr val="tx1"/>
                            </a:solidFill>
                            <a:effectLst/>
                            <a:latin typeface="Cambria Math" panose="02040503050406030204" pitchFamily="18" charset="0"/>
                            <a:ea typeface="+mn-ea"/>
                            <a:cs typeface="+mn-cs"/>
                          </a:rPr>
                          <m:t>𝑓𝑎𝑠𝑒</m:t>
                        </m:r>
                      </m:den>
                    </m:f>
                  </m:oMath>
                </m:oMathPara>
              </a14:m>
              <a:endParaRPr lang="es-CO" sz="1400"/>
            </a:p>
          </xdr:txBody>
        </xdr:sp>
      </mc:Choice>
      <mc:Fallback xmlns="">
        <xdr:sp macro="" textlink="">
          <xdr:nvSpPr>
            <xdr:cNvPr id="24" name="CuadroTexto 23">
              <a:extLst>
                <a:ext uri="{FF2B5EF4-FFF2-40B4-BE49-F238E27FC236}">
                  <a16:creationId xmlns:a16="http://schemas.microsoft.com/office/drawing/2014/main" id="{39C7B18A-BC80-465A-B150-E864F922AC63}"/>
                </a:ext>
              </a:extLst>
            </xdr:cNvPr>
            <xdr:cNvSpPr txBox="1"/>
          </xdr:nvSpPr>
          <xdr:spPr>
            <a:xfrm>
              <a:off x="1104901" y="70581905"/>
              <a:ext cx="4162422" cy="499560"/>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a:t>
              </a:r>
              <a:r>
                <a:rPr lang="es-ES" sz="1400" b="0" i="0">
                  <a:solidFill>
                    <a:schemeClr val="tx1"/>
                  </a:solidFill>
                  <a:effectLst/>
                  <a:latin typeface="Cambria Math" panose="02040503050406030204" pitchFamily="18" charset="0"/>
                  <a:ea typeface="+mn-ea"/>
                  <a:cs typeface="+mn-cs"/>
                </a:rPr>
                <a:t>∆𝑉=𝑘∗𝐿∗𝐼∗(𝑅∗𝐹𝑃+𝑋√(1−〖𝐹𝑃〗^2 ))/(10∗𝑉_𝑛∗# 𝐶𝑜𝑛𝑑𝑢𝑐𝑡𝑜𝑟 𝑝𝑜𝑟 𝑓𝑎𝑠𝑒)</a:t>
              </a:r>
              <a:endParaRPr lang="es-CO" sz="1400"/>
            </a:p>
          </xdr:txBody>
        </xdr:sp>
      </mc:Fallback>
    </mc:AlternateContent>
    <xdr:clientData/>
  </xdr:oneCellAnchor>
  <xdr:twoCellAnchor>
    <xdr:from>
      <xdr:col>12</xdr:col>
      <xdr:colOff>142269</xdr:colOff>
      <xdr:row>553</xdr:row>
      <xdr:rowOff>8283</xdr:rowOff>
    </xdr:from>
    <xdr:to>
      <xdr:col>22</xdr:col>
      <xdr:colOff>219935</xdr:colOff>
      <xdr:row>554</xdr:row>
      <xdr:rowOff>0</xdr:rowOff>
    </xdr:to>
    <xdr:pic>
      <xdr:nvPicPr>
        <xdr:cNvPr id="25" name="Imagen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114069" y="109307658"/>
          <a:ext cx="2554166" cy="334617"/>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33132</xdr:colOff>
      <xdr:row>511</xdr:row>
      <xdr:rowOff>0</xdr:rowOff>
    </xdr:from>
    <xdr:to>
      <xdr:col>0</xdr:col>
      <xdr:colOff>214107</xdr:colOff>
      <xdr:row>511</xdr:row>
      <xdr:rowOff>180975</xdr:rowOff>
    </xdr:to>
    <xdr:pic>
      <xdr:nvPicPr>
        <xdr:cNvPr id="26" name="Imagen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3132" y="101241225"/>
          <a:ext cx="180975"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24849</xdr:colOff>
      <xdr:row>514</xdr:row>
      <xdr:rowOff>0</xdr:rowOff>
    </xdr:from>
    <xdr:to>
      <xdr:col>0</xdr:col>
      <xdr:colOff>224874</xdr:colOff>
      <xdr:row>514</xdr:row>
      <xdr:rowOff>180975</xdr:rowOff>
    </xdr:to>
    <xdr:pic>
      <xdr:nvPicPr>
        <xdr:cNvPr id="27" name="Imagen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849" y="101803200"/>
          <a:ext cx="200025"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24849</xdr:colOff>
      <xdr:row>516</xdr:row>
      <xdr:rowOff>0</xdr:rowOff>
    </xdr:from>
    <xdr:to>
      <xdr:col>0</xdr:col>
      <xdr:colOff>234399</xdr:colOff>
      <xdr:row>516</xdr:row>
      <xdr:rowOff>180975</xdr:rowOff>
    </xdr:to>
    <xdr:pic>
      <xdr:nvPicPr>
        <xdr:cNvPr id="28" name="Imagen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849" y="102184200"/>
          <a:ext cx="209550"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16566</xdr:colOff>
      <xdr:row>517</xdr:row>
      <xdr:rowOff>0</xdr:rowOff>
    </xdr:from>
    <xdr:to>
      <xdr:col>0</xdr:col>
      <xdr:colOff>207066</xdr:colOff>
      <xdr:row>517</xdr:row>
      <xdr:rowOff>180975</xdr:rowOff>
    </xdr:to>
    <xdr:pic>
      <xdr:nvPicPr>
        <xdr:cNvPr id="29" name="Imagen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566" y="102374700"/>
          <a:ext cx="190500"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24849</xdr:colOff>
      <xdr:row>519</xdr:row>
      <xdr:rowOff>0</xdr:rowOff>
    </xdr:from>
    <xdr:to>
      <xdr:col>0</xdr:col>
      <xdr:colOff>186774</xdr:colOff>
      <xdr:row>519</xdr:row>
      <xdr:rowOff>180975</xdr:rowOff>
    </xdr:to>
    <xdr:pic>
      <xdr:nvPicPr>
        <xdr:cNvPr id="30" name="Imagen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849" y="102755700"/>
          <a:ext cx="161925"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24849</xdr:colOff>
      <xdr:row>520</xdr:row>
      <xdr:rowOff>0</xdr:rowOff>
    </xdr:from>
    <xdr:to>
      <xdr:col>0</xdr:col>
      <xdr:colOff>186774</xdr:colOff>
      <xdr:row>520</xdr:row>
      <xdr:rowOff>180975</xdr:rowOff>
    </xdr:to>
    <xdr:pic>
      <xdr:nvPicPr>
        <xdr:cNvPr id="31" name="Imagen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849" y="102946200"/>
          <a:ext cx="161925"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33132</xdr:colOff>
      <xdr:row>526</xdr:row>
      <xdr:rowOff>0</xdr:rowOff>
    </xdr:from>
    <xdr:to>
      <xdr:col>0</xdr:col>
      <xdr:colOff>185532</xdr:colOff>
      <xdr:row>526</xdr:row>
      <xdr:rowOff>180975</xdr:rowOff>
    </xdr:to>
    <xdr:pic>
      <xdr:nvPicPr>
        <xdr:cNvPr id="32" name="Imagen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3132" y="104079675"/>
          <a:ext cx="152400"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33132</xdr:colOff>
      <xdr:row>527</xdr:row>
      <xdr:rowOff>0</xdr:rowOff>
    </xdr:from>
    <xdr:to>
      <xdr:col>0</xdr:col>
      <xdr:colOff>166482</xdr:colOff>
      <xdr:row>527</xdr:row>
      <xdr:rowOff>180975</xdr:rowOff>
    </xdr:to>
    <xdr:pic>
      <xdr:nvPicPr>
        <xdr:cNvPr id="33" name="Imagen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3132" y="104270175"/>
          <a:ext cx="133350"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41415</xdr:colOff>
      <xdr:row>528</xdr:row>
      <xdr:rowOff>0</xdr:rowOff>
    </xdr:from>
    <xdr:to>
      <xdr:col>0</xdr:col>
      <xdr:colOff>174765</xdr:colOff>
      <xdr:row>528</xdr:row>
      <xdr:rowOff>180975</xdr:rowOff>
    </xdr:to>
    <xdr:pic>
      <xdr:nvPicPr>
        <xdr:cNvPr id="34" name="Imagen 33">
          <a:extLst>
            <a:ext uri="{FF2B5EF4-FFF2-40B4-BE49-F238E27FC236}">
              <a16:creationId xmlns:a16="http://schemas.microsoft.com/office/drawing/2014/main" id="{00000000-0008-0000-0100-000022000000}"/>
            </a:ext>
          </a:extLst>
        </xdr:cNvPr>
        <xdr:cNvPicPr>
          <a:picLocks noChangeAspect="1" noChangeArrowheads="1"/>
        </xdr:cNvPicPr>
      </xdr:nvPicPr>
      <xdr:blipFill>
        <a:blip xmlns:r="http://schemas.openxmlformats.org/officeDocument/2006/relationships" r:embed="rId1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415" y="104460675"/>
          <a:ext cx="133350"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41413</xdr:colOff>
      <xdr:row>529</xdr:row>
      <xdr:rowOff>0</xdr:rowOff>
    </xdr:from>
    <xdr:to>
      <xdr:col>0</xdr:col>
      <xdr:colOff>174763</xdr:colOff>
      <xdr:row>529</xdr:row>
      <xdr:rowOff>180975</xdr:rowOff>
    </xdr:to>
    <xdr:pic>
      <xdr:nvPicPr>
        <xdr:cNvPr id="35" name="Imagen 34">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413" y="104651175"/>
          <a:ext cx="133350"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33132</xdr:colOff>
      <xdr:row>534</xdr:row>
      <xdr:rowOff>0</xdr:rowOff>
    </xdr:from>
    <xdr:to>
      <xdr:col>0</xdr:col>
      <xdr:colOff>128382</xdr:colOff>
      <xdr:row>534</xdr:row>
      <xdr:rowOff>180975</xdr:rowOff>
    </xdr:to>
    <xdr:pic>
      <xdr:nvPicPr>
        <xdr:cNvPr id="36" name="Imagen 35">
          <a:extLst>
            <a:ext uri="{FF2B5EF4-FFF2-40B4-BE49-F238E27FC236}">
              <a16:creationId xmlns:a16="http://schemas.microsoft.com/office/drawing/2014/main" id="{00000000-0008-0000-0100-000024000000}"/>
            </a:ext>
          </a:extLst>
        </xdr:cNvPr>
        <xdr:cNvPicPr>
          <a:picLocks noChangeAspect="1" noChangeArrowheads="1"/>
        </xdr:cNvPicPr>
      </xdr:nvPicPr>
      <xdr:blipFill>
        <a:blip xmlns:r="http://schemas.openxmlformats.org/officeDocument/2006/relationships" r:embed="rId1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3132" y="105603675"/>
          <a:ext cx="95250" cy="180975"/>
        </a:xfrm>
        <a:prstGeom prst="rect">
          <a:avLst/>
        </a:prstGeom>
        <a:blipFill dpi="0" rotWithShape="1">
          <a:blip xmlns:r="http://schemas.openxmlformats.org/officeDocument/2006/relationships" r:embed="rId8"/>
          <a:srcRect/>
          <a:stretch>
            <a:fillRect/>
          </a:stretch>
        </a:blipFill>
      </xdr:spPr>
    </xdr:pic>
    <xdr:clientData/>
  </xdr:twoCellAnchor>
  <xdr:twoCellAnchor>
    <xdr:from>
      <xdr:col>0</xdr:col>
      <xdr:colOff>33132</xdr:colOff>
      <xdr:row>535</xdr:row>
      <xdr:rowOff>0</xdr:rowOff>
    </xdr:from>
    <xdr:to>
      <xdr:col>0</xdr:col>
      <xdr:colOff>195057</xdr:colOff>
      <xdr:row>535</xdr:row>
      <xdr:rowOff>180975</xdr:rowOff>
    </xdr:to>
    <xdr:pic>
      <xdr:nvPicPr>
        <xdr:cNvPr id="37" name="Imagen 36">
          <a:extLst>
            <a:ext uri="{FF2B5EF4-FFF2-40B4-BE49-F238E27FC236}">
              <a16:creationId xmlns:a16="http://schemas.microsoft.com/office/drawing/2014/main" id="{00000000-0008-0000-0100-000025000000}"/>
            </a:ext>
          </a:extLst>
        </xdr:cNvPr>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3132" y="105784650"/>
          <a:ext cx="161925" cy="180975"/>
        </a:xfrm>
        <a:prstGeom prst="rect">
          <a:avLst/>
        </a:prstGeom>
        <a:blipFill dpi="0" rotWithShape="1">
          <a:blip xmlns:r="http://schemas.openxmlformats.org/officeDocument/2006/relationships" r:embed="rId8"/>
          <a:srcRect/>
          <a:stretch>
            <a:fillRect/>
          </a:stretch>
        </a:blipFill>
      </xdr:spPr>
    </xdr:pic>
    <xdr:clientData/>
  </xdr:twoCellAnchor>
  <xdr:oneCellAnchor>
    <xdr:from>
      <xdr:col>13</xdr:col>
      <xdr:colOff>240196</xdr:colOff>
      <xdr:row>469</xdr:row>
      <xdr:rowOff>16565</xdr:rowOff>
    </xdr:from>
    <xdr:ext cx="1789044" cy="175369"/>
    <mc:AlternateContent xmlns:mc="http://schemas.openxmlformats.org/markup-compatibility/2006" xmlns:a14="http://schemas.microsoft.com/office/drawing/2010/main">
      <mc:Choice Requires="a14">
        <xdr:sp macro="" textlink="">
          <xdr:nvSpPr>
            <xdr:cNvPr id="38" name="CuadroTexto 37">
              <a:extLst>
                <a:ext uri="{FF2B5EF4-FFF2-40B4-BE49-F238E27FC236}">
                  <a16:creationId xmlns:a16="http://schemas.microsoft.com/office/drawing/2014/main" id="{00000000-0008-0000-0100-000026000000}"/>
                </a:ext>
              </a:extLst>
            </xdr:cNvPr>
            <xdr:cNvSpPr txBox="1"/>
          </xdr:nvSpPr>
          <xdr:spPr>
            <a:xfrm>
              <a:off x="3459646" y="91989965"/>
              <a:ext cx="1789044" cy="175369"/>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14:m>
                <m:oMathPara xmlns:m="http://schemas.openxmlformats.org/officeDocument/2006/math">
                  <m:oMathParaPr>
                    <m:jc m:val="centerGroup"/>
                  </m:oMathParaPr>
                  <m:oMath xmlns:m="http://schemas.openxmlformats.org/officeDocument/2006/math">
                    <m:r>
                      <a:rPr lang="es-ES" sz="1100" b="0" i="1">
                        <a:solidFill>
                          <a:schemeClr val="tx1"/>
                        </a:solidFill>
                        <a:effectLst/>
                        <a:latin typeface="Cambria Math" panose="02040503050406030204" pitchFamily="18" charset="0"/>
                        <a:ea typeface="+mn-ea"/>
                        <a:cs typeface="+mn-cs"/>
                      </a:rPr>
                      <m:t>𝐸</m:t>
                    </m:r>
                    <m:r>
                      <a:rPr lang="es-ES" sz="1100" b="0" i="1">
                        <a:latin typeface="Cambria Math" panose="02040503050406030204" pitchFamily="18" charset="0"/>
                      </a:rPr>
                      <m:t>=</m:t>
                    </m:r>
                    <m:r>
                      <a:rPr lang="es-ES" sz="1100" b="0" i="1">
                        <a:latin typeface="Cambria Math" panose="02040503050406030204" pitchFamily="18" charset="0"/>
                      </a:rPr>
                      <m:t>𝑅</m:t>
                    </m:r>
                    <m:r>
                      <a:rPr lang="es-ES" sz="1100" b="0" i="1">
                        <a:latin typeface="Cambria Math" panose="02040503050406030204" pitchFamily="18" charset="0"/>
                      </a:rPr>
                      <m:t> ∗ </m:t>
                    </m:r>
                    <m:sSup>
                      <m:sSupPr>
                        <m:ctrlPr>
                          <a:rPr lang="es-ES" sz="1100" b="0" i="1">
                            <a:latin typeface="Cambria Math" panose="02040503050406030204" pitchFamily="18" charset="0"/>
                          </a:rPr>
                        </m:ctrlPr>
                      </m:sSupPr>
                      <m:e>
                        <m:r>
                          <a:rPr lang="es-ES" sz="1100" b="0" i="1">
                            <a:latin typeface="Cambria Math" panose="02040503050406030204" pitchFamily="18" charset="0"/>
                          </a:rPr>
                          <m:t>𝐼𝑚𝑎𝑥</m:t>
                        </m:r>
                      </m:e>
                      <m:sup>
                        <m:r>
                          <a:rPr lang="es-ES" sz="1100" b="0" i="1">
                            <a:latin typeface="Cambria Math" panose="02040503050406030204" pitchFamily="18" charset="0"/>
                          </a:rPr>
                          <m:t>2</m:t>
                        </m:r>
                      </m:sup>
                    </m:sSup>
                    <m:r>
                      <a:rPr lang="es-ES" sz="1100" b="0" i="1">
                        <a:latin typeface="Cambria Math" panose="02040503050406030204" pitchFamily="18" charset="0"/>
                      </a:rPr>
                      <m:t>∗</m:t>
                    </m:r>
                    <m:r>
                      <a:rPr lang="es-ES" sz="1100" b="0" i="1">
                        <a:latin typeface="Cambria Math" panose="02040503050406030204" pitchFamily="18" charset="0"/>
                        <a:ea typeface="Cambria Math" panose="02040503050406030204" pitchFamily="18" charset="0"/>
                      </a:rPr>
                      <m:t>∆</m:t>
                    </m:r>
                    <m:r>
                      <a:rPr lang="es-ES" sz="1100" b="0" i="1">
                        <a:latin typeface="Cambria Math" panose="02040503050406030204" pitchFamily="18" charset="0"/>
                        <a:ea typeface="Cambria Math" panose="02040503050406030204" pitchFamily="18" charset="0"/>
                      </a:rPr>
                      <m:t>𝑡</m:t>
                    </m:r>
                    <m:r>
                      <a:rPr lang="es-ES" sz="1100" b="0" i="1">
                        <a:latin typeface="Cambria Math" panose="02040503050406030204" pitchFamily="18" charset="0"/>
                      </a:rPr>
                      <m:t>  [</m:t>
                    </m:r>
                    <m:r>
                      <a:rPr lang="es-ES" sz="1100" b="0" i="1">
                        <a:latin typeface="Cambria Math" panose="02040503050406030204" pitchFamily="18" charset="0"/>
                      </a:rPr>
                      <m:t>𝑊h</m:t>
                    </m:r>
                    <m:r>
                      <a:rPr lang="es-ES" sz="1100" b="0" i="1">
                        <a:latin typeface="Cambria Math" panose="02040503050406030204" pitchFamily="18" charset="0"/>
                      </a:rPr>
                      <m:t>]</m:t>
                    </m:r>
                  </m:oMath>
                </m:oMathPara>
              </a14:m>
              <a:endParaRPr lang="es-CO" sz="1100"/>
            </a:p>
          </xdr:txBody>
        </xdr:sp>
      </mc:Choice>
      <mc:Fallback xmlns="">
        <xdr:sp macro="" textlink="">
          <xdr:nvSpPr>
            <xdr:cNvPr id="38" name="CuadroTexto 37">
              <a:extLst>
                <a:ext uri="{FF2B5EF4-FFF2-40B4-BE49-F238E27FC236}">
                  <a16:creationId xmlns:a16="http://schemas.microsoft.com/office/drawing/2014/main" id="{E3F37050-6B38-416E-AC19-A7789546F2F5}"/>
                </a:ext>
              </a:extLst>
            </xdr:cNvPr>
            <xdr:cNvSpPr txBox="1"/>
          </xdr:nvSpPr>
          <xdr:spPr>
            <a:xfrm>
              <a:off x="3459646" y="91989965"/>
              <a:ext cx="1789044" cy="175369"/>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s-ES" sz="1100" b="0" i="0">
                  <a:solidFill>
                    <a:schemeClr val="tx1"/>
                  </a:solidFill>
                  <a:effectLst/>
                  <a:latin typeface="Cambria Math" panose="02040503050406030204" pitchFamily="18" charset="0"/>
                  <a:ea typeface="+mn-ea"/>
                  <a:cs typeface="+mn-cs"/>
                </a:rPr>
                <a:t>𝐸</a:t>
              </a:r>
              <a:r>
                <a:rPr lang="es-ES" sz="1100" b="0" i="0">
                  <a:latin typeface="Cambria Math" panose="02040503050406030204" pitchFamily="18" charset="0"/>
                </a:rPr>
                <a:t>=𝑅 ∗ 〖𝐼𝑚𝑎𝑥〗^2∗</a:t>
              </a:r>
              <a:r>
                <a:rPr lang="es-ES" sz="1100" b="0" i="0">
                  <a:latin typeface="Cambria Math" panose="02040503050406030204" pitchFamily="18" charset="0"/>
                  <a:ea typeface="Cambria Math" panose="02040503050406030204" pitchFamily="18" charset="0"/>
                </a:rPr>
                <a:t>∆𝑡</a:t>
              </a:r>
              <a:r>
                <a:rPr lang="es-ES" sz="1100" b="0" i="0">
                  <a:latin typeface="Cambria Math" panose="02040503050406030204" pitchFamily="18" charset="0"/>
                </a:rPr>
                <a:t>  [𝑊ℎ]</a:t>
              </a:r>
              <a:endParaRPr lang="es-CO" sz="1100"/>
            </a:p>
          </xdr:txBody>
        </xdr:sp>
      </mc:Fallback>
    </mc:AlternateContent>
    <xdr:clientData/>
  </xdr:oneCellAnchor>
  <xdr:oneCellAnchor>
    <xdr:from>
      <xdr:col>15</xdr:col>
      <xdr:colOff>242681</xdr:colOff>
      <xdr:row>475</xdr:row>
      <xdr:rowOff>48040</xdr:rowOff>
    </xdr:from>
    <xdr:ext cx="491930" cy="321498"/>
    <mc:AlternateContent xmlns:mc="http://schemas.openxmlformats.org/markup-compatibility/2006" xmlns:a14="http://schemas.microsoft.com/office/drawing/2010/main">
      <mc:Choice Requires="a14">
        <xdr:sp macro="" textlink="">
          <xdr:nvSpPr>
            <xdr:cNvPr id="39" name="CuadroTexto 38">
              <a:extLst>
                <a:ext uri="{FF2B5EF4-FFF2-40B4-BE49-F238E27FC236}">
                  <a16:creationId xmlns:a16="http://schemas.microsoft.com/office/drawing/2014/main" id="{00000000-0008-0000-0100-000027000000}"/>
                </a:ext>
              </a:extLst>
            </xdr:cNvPr>
            <xdr:cNvSpPr txBox="1"/>
          </xdr:nvSpPr>
          <xdr:spPr>
            <a:xfrm>
              <a:off x="3957431" y="93088240"/>
              <a:ext cx="491930" cy="321498"/>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100" b="0" i="1">
                        <a:latin typeface="Cambria Math" panose="02040503050406030204" pitchFamily="18" charset="0"/>
                      </a:rPr>
                      <m:t>𝑅</m:t>
                    </m:r>
                    <m:r>
                      <a:rPr lang="es-ES" sz="1100" b="0" i="1">
                        <a:latin typeface="Cambria Math" panose="02040503050406030204" pitchFamily="18" charset="0"/>
                      </a:rPr>
                      <m:t>=</m:t>
                    </m:r>
                    <m:r>
                      <a:rPr lang="es-ES" sz="1100" b="0" i="1">
                        <a:latin typeface="Cambria Math" panose="02040503050406030204" pitchFamily="18" charset="0"/>
                        <a:ea typeface="Cambria Math" panose="02040503050406030204" pitchFamily="18" charset="0"/>
                      </a:rPr>
                      <m:t>𝜌</m:t>
                    </m:r>
                    <m:f>
                      <m:fPr>
                        <m:ctrlPr>
                          <a:rPr lang="es-ES" sz="1100" b="0" i="1">
                            <a:latin typeface="Cambria Math" panose="02040503050406030204" pitchFamily="18" charset="0"/>
                          </a:rPr>
                        </m:ctrlPr>
                      </m:fPr>
                      <m:num>
                        <m:r>
                          <a:rPr lang="es-ES" sz="1100" b="0" i="1">
                            <a:latin typeface="Cambria Math" panose="02040503050406030204" pitchFamily="18" charset="0"/>
                          </a:rPr>
                          <m:t>𝑙</m:t>
                        </m:r>
                      </m:num>
                      <m:den>
                        <m:r>
                          <a:rPr lang="es-ES" sz="1100" b="0" i="1">
                            <a:latin typeface="Cambria Math" panose="02040503050406030204" pitchFamily="18" charset="0"/>
                          </a:rPr>
                          <m:t>𝑆</m:t>
                        </m:r>
                      </m:den>
                    </m:f>
                  </m:oMath>
                </m:oMathPara>
              </a14:m>
              <a:endParaRPr lang="es-CO" sz="1100"/>
            </a:p>
          </xdr:txBody>
        </xdr:sp>
      </mc:Choice>
      <mc:Fallback xmlns="">
        <xdr:sp macro="" textlink="">
          <xdr:nvSpPr>
            <xdr:cNvPr id="39" name="CuadroTexto 38">
              <a:extLst>
                <a:ext uri="{FF2B5EF4-FFF2-40B4-BE49-F238E27FC236}">
                  <a16:creationId xmlns:a16="http://schemas.microsoft.com/office/drawing/2014/main" id="{1C296AFA-2AC8-414C-93FB-7E975E71D5B1}"/>
                </a:ext>
              </a:extLst>
            </xdr:cNvPr>
            <xdr:cNvSpPr txBox="1"/>
          </xdr:nvSpPr>
          <xdr:spPr>
            <a:xfrm>
              <a:off x="3957431" y="93088240"/>
              <a:ext cx="491930" cy="321498"/>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rPr>
                <a:t>𝑅=</a:t>
              </a:r>
              <a:r>
                <a:rPr lang="es-ES" sz="1100" b="0" i="0">
                  <a:latin typeface="Cambria Math" panose="02040503050406030204" pitchFamily="18" charset="0"/>
                  <a:ea typeface="Cambria Math" panose="02040503050406030204" pitchFamily="18" charset="0"/>
                </a:rPr>
                <a:t>𝜌</a:t>
              </a:r>
              <a:r>
                <a:rPr lang="es-ES" sz="1100" b="0" i="0">
                  <a:latin typeface="Cambria Math" panose="02040503050406030204" pitchFamily="18" charset="0"/>
                </a:rPr>
                <a:t> 𝑙/𝑆</a:t>
              </a:r>
              <a:endParaRPr lang="es-CO" sz="1100"/>
            </a:p>
          </xdr:txBody>
        </xdr:sp>
      </mc:Fallback>
    </mc:AlternateContent>
    <xdr:clientData/>
  </xdr:oneCellAnchor>
  <xdr:oneCellAnchor>
    <xdr:from>
      <xdr:col>9</xdr:col>
      <xdr:colOff>143289</xdr:colOff>
      <xdr:row>497</xdr:row>
      <xdr:rowOff>106017</xdr:rowOff>
    </xdr:from>
    <xdr:ext cx="3607846" cy="422167"/>
    <mc:AlternateContent xmlns:mc="http://schemas.openxmlformats.org/markup-compatibility/2006" xmlns:a14="http://schemas.microsoft.com/office/drawing/2010/main">
      <mc:Choice Requires="a14">
        <xdr:sp macro="" textlink="">
          <xdr:nvSpPr>
            <xdr:cNvPr id="40" name="CuadroTexto 39">
              <a:extLst>
                <a:ext uri="{FF2B5EF4-FFF2-40B4-BE49-F238E27FC236}">
                  <a16:creationId xmlns:a16="http://schemas.microsoft.com/office/drawing/2014/main" id="{00000000-0008-0000-0100-000028000000}"/>
                </a:ext>
              </a:extLst>
            </xdr:cNvPr>
            <xdr:cNvSpPr txBox="1"/>
          </xdr:nvSpPr>
          <xdr:spPr>
            <a:xfrm>
              <a:off x="2372139" y="97708692"/>
              <a:ext cx="3607846" cy="422167"/>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i="1">
                            <a:latin typeface="Cambria Math" panose="02040503050406030204" pitchFamily="18" charset="0"/>
                          </a:rPr>
                        </m:ctrlPr>
                      </m:sSubPr>
                      <m:e>
                        <m:r>
                          <a:rPr lang="es-ES" sz="1100" b="0" i="1">
                            <a:latin typeface="Cambria Math" panose="02040503050406030204" pitchFamily="18" charset="0"/>
                          </a:rPr>
                          <m:t>𝑆</m:t>
                        </m:r>
                      </m:e>
                      <m:sub>
                        <m:r>
                          <a:rPr lang="es-ES" sz="1100" b="0" i="1">
                            <a:latin typeface="Cambria Math" panose="02040503050406030204" pitchFamily="18" charset="0"/>
                          </a:rPr>
                          <m:t>𝑒𝑐</m:t>
                        </m:r>
                      </m:sub>
                    </m:sSub>
                    <m:r>
                      <a:rPr lang="es-ES" sz="1100" b="0" i="1">
                        <a:latin typeface="Cambria Math" panose="02040503050406030204" pitchFamily="18" charset="0"/>
                      </a:rPr>
                      <m:t>=1000∗</m:t>
                    </m:r>
                    <m:sSup>
                      <m:sSupPr>
                        <m:ctrlPr>
                          <a:rPr lang="es-ES" sz="1100" b="0" i="1">
                            <a:latin typeface="Cambria Math" panose="02040503050406030204" pitchFamily="18" charset="0"/>
                          </a:rPr>
                        </m:ctrlPr>
                      </m:sSupPr>
                      <m:e>
                        <m:d>
                          <m:dPr>
                            <m:begChr m:val="["/>
                            <m:endChr m:val="]"/>
                            <m:ctrlPr>
                              <a:rPr lang="es-ES" sz="1100" b="0" i="1">
                                <a:solidFill>
                                  <a:schemeClr val="tx1"/>
                                </a:solidFill>
                                <a:effectLst/>
                                <a:latin typeface="Cambria Math" panose="02040503050406030204" pitchFamily="18" charset="0"/>
                                <a:ea typeface="+mn-ea"/>
                                <a:cs typeface="+mn-cs"/>
                              </a:rPr>
                            </m:ctrlPr>
                          </m:dPr>
                          <m:e>
                            <m:f>
                              <m:fPr>
                                <m:ctrlPr>
                                  <a:rPr lang="es-ES" sz="1100" b="0" i="1">
                                    <a:solidFill>
                                      <a:schemeClr val="tx1"/>
                                    </a:solidFill>
                                    <a:effectLst/>
                                    <a:latin typeface="Cambria Math" panose="02040503050406030204" pitchFamily="18" charset="0"/>
                                    <a:ea typeface="+mn-ea"/>
                                    <a:cs typeface="+mn-cs"/>
                                  </a:rPr>
                                </m:ctrlPr>
                              </m:fPr>
                              <m:num>
                                <m:sSup>
                                  <m:sSupPr>
                                    <m:ctrlPr>
                                      <a:rPr lang="es-ES" sz="1100" b="0" i="1">
                                        <a:solidFill>
                                          <a:schemeClr val="tx1"/>
                                        </a:solidFill>
                                        <a:effectLst/>
                                        <a:latin typeface="Cambria Math" panose="02040503050406030204" pitchFamily="18" charset="0"/>
                                        <a:ea typeface="+mn-ea"/>
                                        <a:cs typeface="+mn-cs"/>
                                      </a:rPr>
                                    </m:ctrlPr>
                                  </m:sSupPr>
                                  <m:e>
                                    <m:r>
                                      <a:rPr lang="es-ES" sz="1100" b="0" i="1">
                                        <a:solidFill>
                                          <a:schemeClr val="tx1"/>
                                        </a:solidFill>
                                        <a:effectLst/>
                                        <a:latin typeface="Cambria Math" panose="02040503050406030204" pitchFamily="18" charset="0"/>
                                        <a:ea typeface="+mn-ea"/>
                                        <a:cs typeface="+mn-cs"/>
                                      </a:rPr>
                                      <m:t>𝐼𝑚𝑎𝑥</m:t>
                                    </m:r>
                                  </m:e>
                                  <m:sup>
                                    <m:r>
                                      <a:rPr lang="es-ES" sz="1100" b="0" i="1">
                                        <a:solidFill>
                                          <a:schemeClr val="tx1"/>
                                        </a:solidFill>
                                        <a:effectLst/>
                                        <a:latin typeface="Cambria Math" panose="02040503050406030204" pitchFamily="18" charset="0"/>
                                        <a:ea typeface="+mn-ea"/>
                                        <a:cs typeface="+mn-cs"/>
                                      </a:rPr>
                                      <m:t>2</m:t>
                                    </m:r>
                                  </m:sup>
                                </m:sSup>
                                <m:r>
                                  <a:rPr lang="es-ES" sz="1100" b="0" i="1">
                                    <a:solidFill>
                                      <a:schemeClr val="tx1"/>
                                    </a:solidFill>
                                    <a:effectLst/>
                                    <a:latin typeface="Cambria Math" panose="02040503050406030204" pitchFamily="18" charset="0"/>
                                    <a:ea typeface="+mn-ea"/>
                                    <a:cs typeface="+mn-cs"/>
                                  </a:rPr>
                                  <m:t>∗</m:t>
                                </m:r>
                                <m:r>
                                  <a:rPr lang="es-ES" sz="1100" b="0" i="1">
                                    <a:solidFill>
                                      <a:schemeClr val="tx1"/>
                                    </a:solidFill>
                                    <a:effectLst/>
                                    <a:latin typeface="Cambria Math" panose="02040503050406030204" pitchFamily="18" charset="0"/>
                                    <a:ea typeface="+mn-ea"/>
                                    <a:cs typeface="+mn-cs"/>
                                  </a:rPr>
                                  <m:t>𝐹</m:t>
                                </m:r>
                                <m:r>
                                  <a:rPr lang="es-ES" sz="1100" b="0" i="1">
                                    <a:solidFill>
                                      <a:schemeClr val="tx1"/>
                                    </a:solidFill>
                                    <a:effectLst/>
                                    <a:latin typeface="Cambria Math" panose="02040503050406030204" pitchFamily="18" charset="0"/>
                                    <a:ea typeface="+mn-ea"/>
                                    <a:cs typeface="+mn-cs"/>
                                  </a:rPr>
                                  <m:t>∗</m:t>
                                </m:r>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𝜌</m:t>
                                    </m:r>
                                  </m:e>
                                  <m:sub>
                                    <m:r>
                                      <a:rPr lang="es-ES" sz="1100" b="0" i="1">
                                        <a:solidFill>
                                          <a:schemeClr val="tx1"/>
                                        </a:solidFill>
                                        <a:effectLst/>
                                        <a:latin typeface="Cambria Math" panose="02040503050406030204" pitchFamily="18" charset="0"/>
                                        <a:ea typeface="+mn-ea"/>
                                        <a:cs typeface="+mn-cs"/>
                                      </a:rPr>
                                      <m:t>20</m:t>
                                    </m:r>
                                  </m:sub>
                                </m:sSub>
                                <m:r>
                                  <a:rPr lang="es-ES" sz="1100" b="0" i="1">
                                    <a:solidFill>
                                      <a:schemeClr val="tx1"/>
                                    </a:solidFill>
                                    <a:effectLst/>
                                    <a:latin typeface="Cambria Math" panose="02040503050406030204" pitchFamily="18" charset="0"/>
                                    <a:ea typeface="+mn-ea"/>
                                    <a:cs typeface="+mn-cs"/>
                                  </a:rPr>
                                  <m:t>∗</m:t>
                                </m:r>
                                <m:r>
                                  <a:rPr lang="es-ES" sz="1100" b="0" i="1">
                                    <a:solidFill>
                                      <a:schemeClr val="tx1"/>
                                    </a:solidFill>
                                    <a:effectLst/>
                                    <a:latin typeface="Cambria Math" panose="02040503050406030204" pitchFamily="18" charset="0"/>
                                    <a:ea typeface="+mn-ea"/>
                                    <a:cs typeface="+mn-cs"/>
                                  </a:rPr>
                                  <m:t>𝐵</m:t>
                                </m:r>
                                <m:r>
                                  <a:rPr lang="es-ES" sz="1100" b="0" i="1">
                                    <a:solidFill>
                                      <a:schemeClr val="tx1"/>
                                    </a:solidFill>
                                    <a:effectLst/>
                                    <a:latin typeface="Cambria Math" panose="02040503050406030204" pitchFamily="18" charset="0"/>
                                    <a:ea typeface="+mn-ea"/>
                                    <a:cs typeface="+mn-cs"/>
                                  </a:rPr>
                                  <m:t>∗</m:t>
                                </m:r>
                                <m:d>
                                  <m:dPr>
                                    <m:begChr m:val="["/>
                                    <m:endChr m:val="]"/>
                                    <m:ctrlPr>
                                      <a:rPr lang="es-ES" sz="1100" b="0" i="1">
                                        <a:solidFill>
                                          <a:schemeClr val="tx1"/>
                                        </a:solidFill>
                                        <a:effectLst/>
                                        <a:latin typeface="Cambria Math" panose="02040503050406030204" pitchFamily="18" charset="0"/>
                                        <a:ea typeface="+mn-ea"/>
                                        <a:cs typeface="+mn-cs"/>
                                      </a:rPr>
                                    </m:ctrlPr>
                                  </m:dPr>
                                  <m:e>
                                    <m:r>
                                      <a:rPr lang="es-ES" sz="1100" b="0" i="1">
                                        <a:solidFill>
                                          <a:schemeClr val="tx1"/>
                                        </a:solidFill>
                                        <a:effectLst/>
                                        <a:latin typeface="Cambria Math" panose="02040503050406030204" pitchFamily="18" charset="0"/>
                                        <a:ea typeface="+mn-ea"/>
                                        <a:cs typeface="+mn-cs"/>
                                      </a:rPr>
                                      <m:t>1+</m:t>
                                    </m:r>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𝛼</m:t>
                                        </m:r>
                                      </m:e>
                                      <m:sub>
                                        <m:r>
                                          <a:rPr lang="es-ES" sz="1100" b="0" i="1">
                                            <a:solidFill>
                                              <a:schemeClr val="tx1"/>
                                            </a:solidFill>
                                            <a:effectLst/>
                                            <a:latin typeface="Cambria Math" panose="02040503050406030204" pitchFamily="18" charset="0"/>
                                            <a:ea typeface="+mn-ea"/>
                                            <a:cs typeface="+mn-cs"/>
                                          </a:rPr>
                                          <m:t>20</m:t>
                                        </m:r>
                                      </m:sub>
                                    </m:sSub>
                                    <m:d>
                                      <m:dPr>
                                        <m:ctrlPr>
                                          <a:rPr lang="es-ES" sz="1100" b="0" i="1">
                                            <a:solidFill>
                                              <a:schemeClr val="tx1"/>
                                            </a:solidFill>
                                            <a:effectLst/>
                                            <a:latin typeface="Cambria Math" panose="02040503050406030204" pitchFamily="18" charset="0"/>
                                            <a:ea typeface="+mn-ea"/>
                                            <a:cs typeface="+mn-cs"/>
                                          </a:rPr>
                                        </m:ctrlPr>
                                      </m:dPr>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𝜃</m:t>
                                            </m:r>
                                          </m:e>
                                          <m:sub>
                                            <m:r>
                                              <a:rPr lang="es-ES" sz="1100" b="0" i="1">
                                                <a:solidFill>
                                                  <a:schemeClr val="tx1"/>
                                                </a:solidFill>
                                                <a:effectLst/>
                                                <a:latin typeface="Cambria Math" panose="02040503050406030204" pitchFamily="18" charset="0"/>
                                                <a:ea typeface="+mn-ea"/>
                                                <a:cs typeface="+mn-cs"/>
                                              </a:rPr>
                                              <m:t>𝑚</m:t>
                                            </m:r>
                                          </m:sub>
                                        </m:sSub>
                                        <m:r>
                                          <a:rPr lang="es-ES" sz="1100" b="0" i="1">
                                            <a:solidFill>
                                              <a:schemeClr val="tx1"/>
                                            </a:solidFill>
                                            <a:effectLst/>
                                            <a:latin typeface="Cambria Math" panose="02040503050406030204" pitchFamily="18" charset="0"/>
                                            <a:ea typeface="+mn-ea"/>
                                            <a:cs typeface="+mn-cs"/>
                                          </a:rPr>
                                          <m:t>−20</m:t>
                                        </m:r>
                                      </m:e>
                                    </m:d>
                                  </m:e>
                                </m:d>
                              </m:num>
                              <m:den>
                                <m:r>
                                  <a:rPr lang="es-ES" sz="1100" b="0" i="1">
                                    <a:solidFill>
                                      <a:schemeClr val="tx1"/>
                                    </a:solidFill>
                                    <a:effectLst/>
                                    <a:latin typeface="Cambria Math" panose="02040503050406030204" pitchFamily="18" charset="0"/>
                                    <a:ea typeface="+mn-ea"/>
                                    <a:cs typeface="+mn-cs"/>
                                  </a:rPr>
                                  <m:t>𝐴</m:t>
                                </m:r>
                              </m:den>
                            </m:f>
                          </m:e>
                        </m:d>
                      </m:e>
                      <m:sup>
                        <m:r>
                          <a:rPr lang="es-ES" sz="1100" b="0" i="1">
                            <a:latin typeface="Cambria Math" panose="02040503050406030204" pitchFamily="18" charset="0"/>
                          </a:rPr>
                          <m:t>0,5</m:t>
                        </m:r>
                      </m:sup>
                    </m:sSup>
                    <m:r>
                      <a:rPr lang="es-ES" sz="1100" b="0" i="1">
                        <a:latin typeface="Cambria Math" panose="02040503050406030204" pitchFamily="18" charset="0"/>
                      </a:rPr>
                      <m:t> </m:t>
                    </m:r>
                  </m:oMath>
                </m:oMathPara>
              </a14:m>
              <a:endParaRPr lang="es-CO" sz="1100"/>
            </a:p>
          </xdr:txBody>
        </xdr:sp>
      </mc:Choice>
      <mc:Fallback xmlns="">
        <xdr:sp macro="" textlink="">
          <xdr:nvSpPr>
            <xdr:cNvPr id="40" name="CuadroTexto 39">
              <a:extLst>
                <a:ext uri="{FF2B5EF4-FFF2-40B4-BE49-F238E27FC236}">
                  <a16:creationId xmlns:a16="http://schemas.microsoft.com/office/drawing/2014/main" id="{1378D968-7A47-4C60-9EEE-1ABA1BDB1124}"/>
                </a:ext>
              </a:extLst>
            </xdr:cNvPr>
            <xdr:cNvSpPr txBox="1"/>
          </xdr:nvSpPr>
          <xdr:spPr>
            <a:xfrm>
              <a:off x="2372139" y="97708692"/>
              <a:ext cx="3607846" cy="422167"/>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rPr>
                <a:t>𝑆</a:t>
              </a:r>
              <a:r>
                <a:rPr lang="es-CO" sz="1100" b="0" i="0">
                  <a:latin typeface="Cambria Math" panose="02040503050406030204" pitchFamily="18" charset="0"/>
                </a:rPr>
                <a:t>_</a:t>
              </a:r>
              <a:r>
                <a:rPr lang="es-ES" sz="1100" b="0" i="0">
                  <a:latin typeface="Cambria Math" panose="02040503050406030204" pitchFamily="18" charset="0"/>
                </a:rPr>
                <a:t>𝑒𝑐=1000∗</a:t>
              </a:r>
              <a:r>
                <a:rPr lang="es-ES" sz="1100" b="0" i="0">
                  <a:solidFill>
                    <a:schemeClr val="tx1"/>
                  </a:solidFill>
                  <a:effectLst/>
                  <a:latin typeface="Cambria Math" panose="02040503050406030204" pitchFamily="18" charset="0"/>
                  <a:ea typeface="+mn-ea"/>
                  <a:cs typeface="+mn-cs"/>
                </a:rPr>
                <a:t>[(〖𝐼𝑚𝑎𝑥〗^2∗𝐹∗𝜌_20∗𝐵∗[1+𝛼_20 (𝜃_𝑚−20)])/𝐴]^</a:t>
              </a:r>
              <a:r>
                <a:rPr lang="es-ES" sz="1100" b="0" i="0">
                  <a:latin typeface="Cambria Math" panose="02040503050406030204" pitchFamily="18" charset="0"/>
                </a:rPr>
                <a:t>0,5  </a:t>
              </a:r>
              <a:endParaRPr lang="es-CO" sz="1100"/>
            </a:p>
          </xdr:txBody>
        </xdr:sp>
      </mc:Fallback>
    </mc:AlternateContent>
    <xdr:clientData/>
  </xdr:oneCellAnchor>
  <xdr:oneCellAnchor>
    <xdr:from>
      <xdr:col>12</xdr:col>
      <xdr:colOff>130037</xdr:colOff>
      <xdr:row>499</xdr:row>
      <xdr:rowOff>115958</xdr:rowOff>
    </xdr:from>
    <xdr:ext cx="2285241" cy="452303"/>
    <mc:AlternateContent xmlns:mc="http://schemas.openxmlformats.org/markup-compatibility/2006" xmlns:a14="http://schemas.microsoft.com/office/drawing/2010/main">
      <mc:Choice Requires="a14">
        <xdr:sp macro="" textlink="">
          <xdr:nvSpPr>
            <xdr:cNvPr id="41" name="CuadroTexto 40">
              <a:extLst>
                <a:ext uri="{FF2B5EF4-FFF2-40B4-BE49-F238E27FC236}">
                  <a16:creationId xmlns:a16="http://schemas.microsoft.com/office/drawing/2014/main" id="{00000000-0008-0000-0100-000029000000}"/>
                </a:ext>
              </a:extLst>
            </xdr:cNvPr>
            <xdr:cNvSpPr txBox="1"/>
          </xdr:nvSpPr>
          <xdr:spPr>
            <a:xfrm>
              <a:off x="3101837" y="98271083"/>
              <a:ext cx="2285241" cy="45230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100" b="0" i="1">
                        <a:latin typeface="Cambria Math" panose="02040503050406030204" pitchFamily="18" charset="0"/>
                      </a:rPr>
                      <m:t>𝐹</m:t>
                    </m:r>
                    <m:r>
                      <a:rPr lang="es-ES" sz="1100" b="0" i="1">
                        <a:latin typeface="Cambria Math" panose="02040503050406030204" pitchFamily="18" charset="0"/>
                      </a:rPr>
                      <m:t>=</m:t>
                    </m:r>
                    <m:sSub>
                      <m:sSubPr>
                        <m:ctrlPr>
                          <a:rPr lang="es-ES" sz="1100" b="0" i="1">
                            <a:latin typeface="Cambria Math" panose="02040503050406030204" pitchFamily="18" charset="0"/>
                          </a:rPr>
                        </m:ctrlPr>
                      </m:sSubPr>
                      <m:e>
                        <m:r>
                          <a:rPr lang="es-ES" sz="1100" b="0" i="1">
                            <a:latin typeface="Cambria Math" panose="02040503050406030204" pitchFamily="18" charset="0"/>
                          </a:rPr>
                          <m:t>𝑁</m:t>
                        </m:r>
                      </m:e>
                      <m:sub>
                        <m:r>
                          <a:rPr lang="es-ES" sz="1100" b="0" i="1">
                            <a:latin typeface="Cambria Math" panose="02040503050406030204" pitchFamily="18" charset="0"/>
                          </a:rPr>
                          <m:t>𝑝</m:t>
                        </m:r>
                      </m:sub>
                    </m:sSub>
                    <m:r>
                      <a:rPr lang="es-ES" sz="1100" b="0" i="1">
                        <a:latin typeface="Cambria Math" panose="02040503050406030204" pitchFamily="18" charset="0"/>
                      </a:rPr>
                      <m:t>∗</m:t>
                    </m:r>
                    <m:sSub>
                      <m:sSubPr>
                        <m:ctrlPr>
                          <a:rPr lang="es-ES" sz="1100" b="0" i="1">
                            <a:latin typeface="Cambria Math" panose="02040503050406030204" pitchFamily="18" charset="0"/>
                          </a:rPr>
                        </m:ctrlPr>
                      </m:sSubPr>
                      <m:e>
                        <m:r>
                          <a:rPr lang="es-ES" sz="1100" b="0" i="1">
                            <a:latin typeface="Cambria Math" panose="02040503050406030204" pitchFamily="18" charset="0"/>
                          </a:rPr>
                          <m:t>𝑁</m:t>
                        </m:r>
                      </m:e>
                      <m:sub>
                        <m:r>
                          <a:rPr lang="es-ES" sz="1100" b="0" i="1">
                            <a:latin typeface="Cambria Math" panose="02040503050406030204" pitchFamily="18" charset="0"/>
                          </a:rPr>
                          <m:t>𝑐</m:t>
                        </m:r>
                      </m:sub>
                    </m:sSub>
                    <m:r>
                      <a:rPr lang="es-ES" sz="1100" b="0" i="1">
                        <a:latin typeface="Cambria Math" panose="02040503050406030204" pitchFamily="18" charset="0"/>
                      </a:rPr>
                      <m:t>∗</m:t>
                    </m:r>
                    <m:d>
                      <m:dPr>
                        <m:ctrlPr>
                          <a:rPr lang="es-ES" sz="1100" b="0" i="1">
                            <a:latin typeface="Cambria Math" panose="02040503050406030204" pitchFamily="18" charset="0"/>
                          </a:rPr>
                        </m:ctrlPr>
                      </m:dPr>
                      <m:e>
                        <m:r>
                          <a:rPr lang="es-ES" sz="1100" b="0" i="1">
                            <a:latin typeface="Cambria Math" panose="02040503050406030204" pitchFamily="18" charset="0"/>
                          </a:rPr>
                          <m:t>𝑇</m:t>
                        </m:r>
                        <m:r>
                          <a:rPr lang="es-ES" sz="1100" b="0" i="1">
                            <a:latin typeface="Cambria Math" panose="02040503050406030204" pitchFamily="18" charset="0"/>
                          </a:rPr>
                          <m:t>∗</m:t>
                        </m:r>
                        <m:r>
                          <a:rPr lang="es-ES" sz="1100" b="0" i="1">
                            <a:latin typeface="Cambria Math" panose="02040503050406030204" pitchFamily="18" charset="0"/>
                          </a:rPr>
                          <m:t>𝑃</m:t>
                        </m:r>
                        <m:r>
                          <a:rPr lang="es-ES" sz="1100" b="0" i="1">
                            <a:latin typeface="Cambria Math" panose="02040503050406030204" pitchFamily="18" charset="0"/>
                          </a:rPr>
                          <m:t>+</m:t>
                        </m:r>
                        <m:r>
                          <a:rPr lang="es-ES" sz="1100" b="0" i="1">
                            <a:latin typeface="Cambria Math" panose="02040503050406030204" pitchFamily="18" charset="0"/>
                          </a:rPr>
                          <m:t>𝐷</m:t>
                        </m:r>
                      </m:e>
                    </m:d>
                    <m:r>
                      <a:rPr lang="es-ES" sz="1100" b="0" i="1">
                        <a:latin typeface="Cambria Math" panose="02040503050406030204" pitchFamily="18" charset="0"/>
                      </a:rPr>
                      <m:t>∗</m:t>
                    </m:r>
                    <m:f>
                      <m:fPr>
                        <m:ctrlPr>
                          <a:rPr lang="es-ES" sz="1100" b="0" i="1">
                            <a:latin typeface="Cambria Math" panose="02040503050406030204" pitchFamily="18" charset="0"/>
                          </a:rPr>
                        </m:ctrlPr>
                      </m:fPr>
                      <m:num>
                        <m:r>
                          <a:rPr lang="es-ES" sz="1100" b="0" i="1">
                            <a:latin typeface="Cambria Math" panose="02040503050406030204" pitchFamily="18" charset="0"/>
                          </a:rPr>
                          <m:t>𝑄</m:t>
                        </m:r>
                      </m:num>
                      <m:den>
                        <m:r>
                          <a:rPr lang="es-ES" sz="1100" b="0" i="1">
                            <a:latin typeface="Cambria Math" panose="02040503050406030204" pitchFamily="18" charset="0"/>
                          </a:rPr>
                          <m:t>1+</m:t>
                        </m:r>
                        <m:f>
                          <m:fPr>
                            <m:ctrlPr>
                              <a:rPr lang="es-ES" sz="1100" b="0" i="1">
                                <a:latin typeface="Cambria Math" panose="02040503050406030204" pitchFamily="18" charset="0"/>
                              </a:rPr>
                            </m:ctrlPr>
                          </m:fPr>
                          <m:num>
                            <m:r>
                              <a:rPr lang="es-ES" sz="1100" b="0" i="1">
                                <a:latin typeface="Cambria Math" panose="02040503050406030204" pitchFamily="18" charset="0"/>
                              </a:rPr>
                              <m:t>𝑖</m:t>
                            </m:r>
                          </m:num>
                          <m:den>
                            <m:r>
                              <a:rPr lang="es-ES" sz="1100" b="0" i="1">
                                <a:latin typeface="Cambria Math" panose="02040503050406030204" pitchFamily="18" charset="0"/>
                              </a:rPr>
                              <m:t>100</m:t>
                            </m:r>
                          </m:den>
                        </m:f>
                        <m:r>
                          <a:rPr lang="es-ES" sz="1100" b="0" i="1">
                            <a:latin typeface="Cambria Math" panose="02040503050406030204" pitchFamily="18" charset="0"/>
                          </a:rPr>
                          <m:t> </m:t>
                        </m:r>
                      </m:den>
                    </m:f>
                    <m:r>
                      <a:rPr lang="es-ES" sz="1100" b="0" i="1">
                        <a:latin typeface="Cambria Math" panose="02040503050406030204" pitchFamily="18" charset="0"/>
                      </a:rPr>
                      <m:t>  </m:t>
                    </m:r>
                  </m:oMath>
                </m:oMathPara>
              </a14:m>
              <a:endParaRPr lang="es-CO" sz="1100"/>
            </a:p>
          </xdr:txBody>
        </xdr:sp>
      </mc:Choice>
      <mc:Fallback xmlns="">
        <xdr:sp macro="" textlink="">
          <xdr:nvSpPr>
            <xdr:cNvPr id="41" name="CuadroTexto 40">
              <a:extLst>
                <a:ext uri="{FF2B5EF4-FFF2-40B4-BE49-F238E27FC236}">
                  <a16:creationId xmlns:a16="http://schemas.microsoft.com/office/drawing/2014/main" id="{D43B6DEB-4CC8-4EB5-95B2-BABCDDB41210}"/>
                </a:ext>
              </a:extLst>
            </xdr:cNvPr>
            <xdr:cNvSpPr txBox="1"/>
          </xdr:nvSpPr>
          <xdr:spPr>
            <a:xfrm>
              <a:off x="3101837" y="98271083"/>
              <a:ext cx="2285241" cy="45230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rPr>
                <a:t>𝐹=𝑁_𝑝∗𝑁_𝑐∗(𝑇∗𝑃+𝐷)∗𝑄/(1+𝑖/100  )   </a:t>
              </a:r>
              <a:endParaRPr lang="es-CO" sz="1100"/>
            </a:p>
          </xdr:txBody>
        </xdr:sp>
      </mc:Fallback>
    </mc:AlternateContent>
    <xdr:clientData/>
  </xdr:oneCellAnchor>
  <xdr:oneCellAnchor>
    <xdr:from>
      <xdr:col>12</xdr:col>
      <xdr:colOff>229428</xdr:colOff>
      <xdr:row>502</xdr:row>
      <xdr:rowOff>1656</xdr:rowOff>
    </xdr:from>
    <xdr:ext cx="2113784" cy="194412"/>
    <mc:AlternateContent xmlns:mc="http://schemas.openxmlformats.org/markup-compatibility/2006" xmlns:a14="http://schemas.microsoft.com/office/drawing/2010/main">
      <mc:Choice Requires="a14">
        <xdr:sp macro="" textlink="">
          <xdr:nvSpPr>
            <xdr:cNvPr id="42" name="CuadroTexto 41">
              <a:extLst>
                <a:ext uri="{FF2B5EF4-FFF2-40B4-BE49-F238E27FC236}">
                  <a16:creationId xmlns:a16="http://schemas.microsoft.com/office/drawing/2014/main" id="{00000000-0008-0000-0100-00002A000000}"/>
                </a:ext>
              </a:extLst>
            </xdr:cNvPr>
            <xdr:cNvSpPr txBox="1"/>
          </xdr:nvSpPr>
          <xdr:spPr>
            <a:xfrm>
              <a:off x="3201228" y="98899731"/>
              <a:ext cx="2113784" cy="194412"/>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100" b="0" i="1">
                        <a:latin typeface="Cambria Math" panose="02040503050406030204" pitchFamily="18" charset="0"/>
                      </a:rPr>
                      <m:t>𝐵</m:t>
                    </m:r>
                    <m:r>
                      <a:rPr lang="es-ES" sz="1100" b="0" i="1">
                        <a:latin typeface="Cambria Math" panose="02040503050406030204" pitchFamily="18" charset="0"/>
                      </a:rPr>
                      <m:t>=</m:t>
                    </m:r>
                    <m:d>
                      <m:dPr>
                        <m:ctrlPr>
                          <a:rPr lang="es-ES" sz="1100" b="0" i="1">
                            <a:latin typeface="Cambria Math" panose="02040503050406030204" pitchFamily="18" charset="0"/>
                          </a:rPr>
                        </m:ctrlPr>
                      </m:dPr>
                      <m:e>
                        <m:r>
                          <a:rPr lang="es-ES" sz="1100" b="0" i="1">
                            <a:latin typeface="Cambria Math" panose="02040503050406030204" pitchFamily="18" charset="0"/>
                          </a:rPr>
                          <m:t>1+ </m:t>
                        </m:r>
                        <m:sSub>
                          <m:sSubPr>
                            <m:ctrlPr>
                              <a:rPr lang="es-ES" sz="1100" b="0" i="1">
                                <a:latin typeface="Cambria Math" panose="02040503050406030204" pitchFamily="18" charset="0"/>
                              </a:rPr>
                            </m:ctrlPr>
                          </m:sSubPr>
                          <m:e>
                            <m:r>
                              <a:rPr lang="es-ES" sz="1100" b="0" i="1">
                                <a:latin typeface="Cambria Math" panose="02040503050406030204" pitchFamily="18" charset="0"/>
                              </a:rPr>
                              <m:t>𝑦</m:t>
                            </m:r>
                          </m:e>
                          <m:sub>
                            <m:r>
                              <a:rPr lang="es-ES" sz="1100" b="0" i="1">
                                <a:latin typeface="Cambria Math" panose="02040503050406030204" pitchFamily="18" charset="0"/>
                              </a:rPr>
                              <m:t>𝑝</m:t>
                            </m:r>
                          </m:sub>
                        </m:sSub>
                        <m:r>
                          <a:rPr lang="es-ES" sz="1100" b="0" i="1">
                            <a:latin typeface="Cambria Math" panose="02040503050406030204" pitchFamily="18" charset="0"/>
                          </a:rPr>
                          <m:t>+</m:t>
                        </m:r>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𝑦</m:t>
                            </m:r>
                          </m:e>
                          <m:sub>
                            <m:r>
                              <a:rPr lang="es-ES" sz="1100" b="0" i="1">
                                <a:solidFill>
                                  <a:schemeClr val="tx1"/>
                                </a:solidFill>
                                <a:effectLst/>
                                <a:latin typeface="Cambria Math" panose="02040503050406030204" pitchFamily="18" charset="0"/>
                                <a:ea typeface="+mn-ea"/>
                                <a:cs typeface="+mn-cs"/>
                              </a:rPr>
                              <m:t>𝑠</m:t>
                            </m:r>
                          </m:sub>
                        </m:sSub>
                      </m:e>
                    </m:d>
                    <m:r>
                      <a:rPr lang="es-ES" sz="1100" b="0" i="1">
                        <a:latin typeface="Cambria Math" panose="02040503050406030204" pitchFamily="18" charset="0"/>
                      </a:rPr>
                      <m:t>∗(</m:t>
                    </m:r>
                    <m:r>
                      <a:rPr lang="es-ES" sz="1100" b="0" i="1">
                        <a:solidFill>
                          <a:schemeClr val="tx1"/>
                        </a:solidFill>
                        <a:effectLst/>
                        <a:latin typeface="Cambria Math" panose="02040503050406030204" pitchFamily="18" charset="0"/>
                        <a:ea typeface="+mn-ea"/>
                        <a:cs typeface="+mn-cs"/>
                      </a:rPr>
                      <m:t>1+ </m:t>
                    </m:r>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Cambria Math" panose="02040503050406030204" pitchFamily="18" charset="0"/>
                            <a:cs typeface="+mn-cs"/>
                          </a:rPr>
                          <m:t>𝜆</m:t>
                        </m:r>
                      </m:e>
                      <m:sub>
                        <m:r>
                          <a:rPr lang="es-ES" sz="1100" b="0" i="1">
                            <a:solidFill>
                              <a:schemeClr val="tx1"/>
                            </a:solidFill>
                            <a:effectLst/>
                            <a:latin typeface="Cambria Math" panose="02040503050406030204" pitchFamily="18" charset="0"/>
                            <a:ea typeface="+mn-ea"/>
                            <a:cs typeface="+mn-cs"/>
                          </a:rPr>
                          <m:t>1</m:t>
                        </m:r>
                      </m:sub>
                    </m:sSub>
                    <m:r>
                      <a:rPr lang="es-ES" sz="1100" b="0" i="1">
                        <a:solidFill>
                          <a:schemeClr val="tx1"/>
                        </a:solidFill>
                        <a:effectLst/>
                        <a:latin typeface="Cambria Math" panose="02040503050406030204" pitchFamily="18" charset="0"/>
                        <a:ea typeface="+mn-ea"/>
                        <a:cs typeface="+mn-cs"/>
                      </a:rPr>
                      <m:t>+</m:t>
                    </m:r>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Cambria Math" panose="02040503050406030204" pitchFamily="18" charset="0"/>
                            <a:cs typeface="+mn-cs"/>
                          </a:rPr>
                          <m:t>𝜆</m:t>
                        </m:r>
                      </m:e>
                      <m:sub>
                        <m:r>
                          <a:rPr lang="es-ES" sz="1100" b="0" i="1">
                            <a:solidFill>
                              <a:schemeClr val="tx1"/>
                            </a:solidFill>
                            <a:effectLst/>
                            <a:latin typeface="Cambria Math" panose="02040503050406030204" pitchFamily="18" charset="0"/>
                            <a:ea typeface="+mn-ea"/>
                            <a:cs typeface="+mn-cs"/>
                          </a:rPr>
                          <m:t>2</m:t>
                        </m:r>
                      </m:sub>
                    </m:sSub>
                    <m:r>
                      <a:rPr lang="es-ES" sz="1100" b="0" i="1">
                        <a:latin typeface="Cambria Math" panose="02040503050406030204" pitchFamily="18" charset="0"/>
                      </a:rPr>
                      <m:t>)</m:t>
                    </m:r>
                  </m:oMath>
                </m:oMathPara>
              </a14:m>
              <a:endParaRPr lang="es-CO" sz="1100"/>
            </a:p>
          </xdr:txBody>
        </xdr:sp>
      </mc:Choice>
      <mc:Fallback xmlns="">
        <xdr:sp macro="" textlink="">
          <xdr:nvSpPr>
            <xdr:cNvPr id="42" name="CuadroTexto 41">
              <a:extLst>
                <a:ext uri="{FF2B5EF4-FFF2-40B4-BE49-F238E27FC236}">
                  <a16:creationId xmlns:a16="http://schemas.microsoft.com/office/drawing/2014/main" id="{5A158D2C-A40B-4730-8F9B-D1231F5FF2B9}"/>
                </a:ext>
              </a:extLst>
            </xdr:cNvPr>
            <xdr:cNvSpPr txBox="1"/>
          </xdr:nvSpPr>
          <xdr:spPr>
            <a:xfrm>
              <a:off x="3201228" y="98899731"/>
              <a:ext cx="2113784" cy="194412"/>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rPr>
                <a:t>𝐵=(1+ 𝑦_𝑝+</a:t>
              </a:r>
              <a:r>
                <a:rPr lang="es-ES" sz="1100" b="0" i="0">
                  <a:solidFill>
                    <a:schemeClr val="tx1"/>
                  </a:solidFill>
                  <a:effectLst/>
                  <a:latin typeface="Cambria Math" panose="02040503050406030204" pitchFamily="18" charset="0"/>
                  <a:ea typeface="+mn-ea"/>
                  <a:cs typeface="+mn-cs"/>
                </a:rPr>
                <a:t>𝑦_𝑠 )</a:t>
              </a:r>
              <a:r>
                <a:rPr lang="es-ES" sz="1100" b="0" i="0">
                  <a:latin typeface="Cambria Math" panose="02040503050406030204" pitchFamily="18" charset="0"/>
                </a:rPr>
                <a:t>∗(</a:t>
              </a:r>
              <a:r>
                <a:rPr lang="es-ES" sz="1100" b="0" i="0">
                  <a:solidFill>
                    <a:schemeClr val="tx1"/>
                  </a:solidFill>
                  <a:effectLst/>
                  <a:latin typeface="Cambria Math" panose="02040503050406030204" pitchFamily="18" charset="0"/>
                  <a:ea typeface="+mn-ea"/>
                  <a:cs typeface="+mn-cs"/>
                </a:rPr>
                <a:t>1+ </a:t>
              </a:r>
              <a:r>
                <a:rPr lang="es-ES" sz="1100" b="0" i="0">
                  <a:solidFill>
                    <a:schemeClr val="tx1"/>
                  </a:solidFill>
                  <a:effectLst/>
                  <a:latin typeface="Cambria Math" panose="02040503050406030204" pitchFamily="18" charset="0"/>
                  <a:ea typeface="Cambria Math" panose="02040503050406030204" pitchFamily="18" charset="0"/>
                  <a:cs typeface="+mn-cs"/>
                </a:rPr>
                <a:t>𝜆</a:t>
              </a:r>
              <a:r>
                <a:rPr lang="es-ES" sz="1100" b="0" i="0">
                  <a:solidFill>
                    <a:schemeClr val="tx1"/>
                  </a:solidFill>
                  <a:effectLst/>
                  <a:latin typeface="Cambria Math" panose="02040503050406030204" pitchFamily="18" charset="0"/>
                  <a:ea typeface="+mn-ea"/>
                  <a:cs typeface="+mn-cs"/>
                </a:rPr>
                <a:t>_1+</a:t>
              </a:r>
              <a:r>
                <a:rPr lang="es-ES" sz="1100" b="0" i="0">
                  <a:solidFill>
                    <a:schemeClr val="tx1"/>
                  </a:solidFill>
                  <a:effectLst/>
                  <a:latin typeface="Cambria Math" panose="02040503050406030204" pitchFamily="18" charset="0"/>
                  <a:ea typeface="Cambria Math" panose="02040503050406030204" pitchFamily="18" charset="0"/>
                  <a:cs typeface="+mn-cs"/>
                </a:rPr>
                <a:t>𝜆</a:t>
              </a:r>
              <a:r>
                <a:rPr lang="es-ES" sz="1100" b="0" i="0">
                  <a:solidFill>
                    <a:schemeClr val="tx1"/>
                  </a:solidFill>
                  <a:effectLst/>
                  <a:latin typeface="Cambria Math" panose="02040503050406030204" pitchFamily="18" charset="0"/>
                  <a:ea typeface="+mn-ea"/>
                  <a:cs typeface="+mn-cs"/>
                </a:rPr>
                <a:t>_2</a:t>
              </a:r>
              <a:r>
                <a:rPr lang="es-ES" sz="1100" b="0" i="0">
                  <a:latin typeface="Cambria Math" panose="02040503050406030204" pitchFamily="18" charset="0"/>
                </a:rPr>
                <a:t>)</a:t>
              </a:r>
              <a:endParaRPr lang="es-CO" sz="1100"/>
            </a:p>
          </xdr:txBody>
        </xdr:sp>
      </mc:Fallback>
    </mc:AlternateContent>
    <xdr:clientData/>
  </xdr:oneCellAnchor>
  <xdr:oneCellAnchor>
    <xdr:from>
      <xdr:col>14</xdr:col>
      <xdr:colOff>47210</xdr:colOff>
      <xdr:row>504</xdr:row>
      <xdr:rowOff>18222</xdr:rowOff>
    </xdr:from>
    <xdr:ext cx="1492524" cy="475964"/>
    <mc:AlternateContent xmlns:mc="http://schemas.openxmlformats.org/markup-compatibility/2006" xmlns:a14="http://schemas.microsoft.com/office/drawing/2010/main">
      <mc:Choice Requires="a14">
        <xdr:sp macro="" textlink="">
          <xdr:nvSpPr>
            <xdr:cNvPr id="43" name="CuadroTexto 42">
              <a:extLst>
                <a:ext uri="{FF2B5EF4-FFF2-40B4-BE49-F238E27FC236}">
                  <a16:creationId xmlns:a16="http://schemas.microsoft.com/office/drawing/2014/main" id="{00000000-0008-0000-0100-00002B000000}"/>
                </a:ext>
              </a:extLst>
            </xdr:cNvPr>
            <xdr:cNvSpPr txBox="1"/>
          </xdr:nvSpPr>
          <xdr:spPr>
            <a:xfrm>
              <a:off x="3514310" y="99278247"/>
              <a:ext cx="1492524" cy="475964"/>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100" b="0" i="1">
                        <a:latin typeface="Cambria Math" panose="02040503050406030204" pitchFamily="18" charset="0"/>
                      </a:rPr>
                      <m:t>𝑄</m:t>
                    </m:r>
                    <m:r>
                      <a:rPr lang="es-ES" sz="1100" b="0" i="1">
                        <a:latin typeface="Cambria Math" panose="02040503050406030204" pitchFamily="18" charset="0"/>
                      </a:rPr>
                      <m:t>=</m:t>
                    </m:r>
                    <m:nary>
                      <m:naryPr>
                        <m:chr m:val="∑"/>
                        <m:ctrlPr>
                          <a:rPr lang="es-ES" sz="1100" b="0" i="1">
                            <a:latin typeface="Cambria Math" panose="02040503050406030204" pitchFamily="18" charset="0"/>
                          </a:rPr>
                        </m:ctrlPr>
                      </m:naryPr>
                      <m:sub>
                        <m:r>
                          <m:rPr>
                            <m:brk m:alnAt="23"/>
                          </m:rPr>
                          <a:rPr lang="es-ES" sz="1100" b="0" i="1">
                            <a:latin typeface="Cambria Math" panose="02040503050406030204" pitchFamily="18" charset="0"/>
                          </a:rPr>
                          <m:t>𝑛</m:t>
                        </m:r>
                        <m:r>
                          <a:rPr lang="es-ES" sz="1100" b="0" i="1">
                            <a:latin typeface="Cambria Math" panose="02040503050406030204" pitchFamily="18" charset="0"/>
                          </a:rPr>
                          <m:t>−1</m:t>
                        </m:r>
                      </m:sub>
                      <m:sup>
                        <m:r>
                          <a:rPr lang="es-ES" sz="1100" b="0" i="1">
                            <a:latin typeface="Cambria Math" panose="02040503050406030204" pitchFamily="18" charset="0"/>
                          </a:rPr>
                          <m:t>𝑁</m:t>
                        </m:r>
                      </m:sup>
                      <m:e>
                        <m:d>
                          <m:dPr>
                            <m:ctrlPr>
                              <a:rPr lang="es-ES" sz="1100" b="0" i="1">
                                <a:latin typeface="Cambria Math" panose="02040503050406030204" pitchFamily="18" charset="0"/>
                              </a:rPr>
                            </m:ctrlPr>
                          </m:dPr>
                          <m:e>
                            <m:sSup>
                              <m:sSupPr>
                                <m:ctrlPr>
                                  <a:rPr lang="es-ES" sz="1100" b="0" i="1">
                                    <a:latin typeface="Cambria Math" panose="02040503050406030204" pitchFamily="18" charset="0"/>
                                  </a:rPr>
                                </m:ctrlPr>
                              </m:sSupPr>
                              <m:e>
                                <m:r>
                                  <a:rPr lang="es-ES" sz="1100" b="0" i="1">
                                    <a:latin typeface="Cambria Math" panose="02040503050406030204" pitchFamily="18" charset="0"/>
                                  </a:rPr>
                                  <m:t>𝑟</m:t>
                                </m:r>
                              </m:e>
                              <m:sup>
                                <m:r>
                                  <a:rPr lang="es-ES" sz="1100" b="0" i="1">
                                    <a:latin typeface="Cambria Math" panose="02040503050406030204" pitchFamily="18" charset="0"/>
                                  </a:rPr>
                                  <m:t>𝑛</m:t>
                                </m:r>
                                <m:r>
                                  <a:rPr lang="es-ES" sz="1100" b="0" i="1">
                                    <a:latin typeface="Cambria Math" panose="02040503050406030204" pitchFamily="18" charset="0"/>
                                  </a:rPr>
                                  <m:t>−1</m:t>
                                </m:r>
                              </m:sup>
                            </m:sSup>
                          </m:e>
                        </m:d>
                        <m:r>
                          <a:rPr lang="es-ES" sz="1100" b="0" i="1">
                            <a:latin typeface="Cambria Math" panose="02040503050406030204" pitchFamily="18" charset="0"/>
                          </a:rPr>
                          <m:t>=</m:t>
                        </m:r>
                      </m:e>
                    </m:nary>
                    <m:f>
                      <m:fPr>
                        <m:ctrlPr>
                          <a:rPr lang="es-ES" sz="1100" b="0" i="1">
                            <a:latin typeface="Cambria Math" panose="02040503050406030204" pitchFamily="18" charset="0"/>
                          </a:rPr>
                        </m:ctrlPr>
                      </m:fPr>
                      <m:num>
                        <m:r>
                          <a:rPr lang="es-ES" sz="1100" b="0" i="1">
                            <a:latin typeface="Cambria Math" panose="02040503050406030204" pitchFamily="18" charset="0"/>
                          </a:rPr>
                          <m:t>1−</m:t>
                        </m:r>
                        <m:sSup>
                          <m:sSupPr>
                            <m:ctrlPr>
                              <a:rPr lang="es-ES" sz="1100" b="0" i="1">
                                <a:latin typeface="Cambria Math" panose="02040503050406030204" pitchFamily="18" charset="0"/>
                              </a:rPr>
                            </m:ctrlPr>
                          </m:sSupPr>
                          <m:e>
                            <m:r>
                              <a:rPr lang="es-ES" sz="1100" b="0" i="1">
                                <a:latin typeface="Cambria Math" panose="02040503050406030204" pitchFamily="18" charset="0"/>
                              </a:rPr>
                              <m:t>𝑟</m:t>
                            </m:r>
                          </m:e>
                          <m:sup>
                            <m:r>
                              <a:rPr lang="es-ES" sz="1100" b="0" i="1">
                                <a:latin typeface="Cambria Math" panose="02040503050406030204" pitchFamily="18" charset="0"/>
                              </a:rPr>
                              <m:t>𝑁</m:t>
                            </m:r>
                          </m:sup>
                        </m:sSup>
                      </m:num>
                      <m:den>
                        <m:r>
                          <a:rPr lang="es-ES" sz="1100" b="0" i="1">
                            <a:latin typeface="Cambria Math" panose="02040503050406030204" pitchFamily="18" charset="0"/>
                          </a:rPr>
                          <m:t>1−</m:t>
                        </m:r>
                        <m:r>
                          <a:rPr lang="es-ES" sz="1100" b="0" i="1">
                            <a:latin typeface="Cambria Math" panose="02040503050406030204" pitchFamily="18" charset="0"/>
                          </a:rPr>
                          <m:t>𝑟</m:t>
                        </m:r>
                      </m:den>
                    </m:f>
                  </m:oMath>
                </m:oMathPara>
              </a14:m>
              <a:endParaRPr lang="es-CO" sz="1100"/>
            </a:p>
          </xdr:txBody>
        </xdr:sp>
      </mc:Choice>
      <mc:Fallback xmlns="">
        <xdr:sp macro="" textlink="">
          <xdr:nvSpPr>
            <xdr:cNvPr id="43" name="CuadroTexto 42">
              <a:extLst>
                <a:ext uri="{FF2B5EF4-FFF2-40B4-BE49-F238E27FC236}">
                  <a16:creationId xmlns:a16="http://schemas.microsoft.com/office/drawing/2014/main" id="{4AD62922-95C2-42CD-9924-9F55F5FEE2C2}"/>
                </a:ext>
              </a:extLst>
            </xdr:cNvPr>
            <xdr:cNvSpPr txBox="1"/>
          </xdr:nvSpPr>
          <xdr:spPr>
            <a:xfrm>
              <a:off x="3514310" y="99278247"/>
              <a:ext cx="1492524" cy="475964"/>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rPr>
                <a:t>𝑄=∑_(𝑛−1)^𝑁▒〖(𝑟^(𝑛−1) )=〗  (1−𝑟^𝑁)/(1−𝑟)</a:t>
              </a:r>
              <a:endParaRPr lang="es-CO" sz="1100"/>
            </a:p>
          </xdr:txBody>
        </xdr:sp>
      </mc:Fallback>
    </mc:AlternateContent>
    <xdr:clientData/>
  </xdr:oneCellAnchor>
  <xdr:oneCellAnchor>
    <xdr:from>
      <xdr:col>15</xdr:col>
      <xdr:colOff>35616</xdr:colOff>
      <xdr:row>509</xdr:row>
      <xdr:rowOff>2897</xdr:rowOff>
    </xdr:from>
    <xdr:ext cx="1217256" cy="322461"/>
    <mc:AlternateContent xmlns:mc="http://schemas.openxmlformats.org/markup-compatibility/2006" xmlns:a14="http://schemas.microsoft.com/office/drawing/2010/main">
      <mc:Choice Requires="a14">
        <xdr:sp macro="" textlink="">
          <xdr:nvSpPr>
            <xdr:cNvPr id="44" name="CuadroTexto 43">
              <a:extLst>
                <a:ext uri="{FF2B5EF4-FFF2-40B4-BE49-F238E27FC236}">
                  <a16:creationId xmlns:a16="http://schemas.microsoft.com/office/drawing/2014/main" id="{00000000-0008-0000-0100-00002C000000}"/>
                </a:ext>
              </a:extLst>
            </xdr:cNvPr>
            <xdr:cNvSpPr txBox="1"/>
          </xdr:nvSpPr>
          <xdr:spPr>
            <a:xfrm>
              <a:off x="3750366" y="100786922"/>
              <a:ext cx="1217256" cy="322461"/>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100" b="0" i="1">
                            <a:latin typeface="Cambria Math" panose="02040503050406030204" pitchFamily="18" charset="0"/>
                            <a:ea typeface="Cambria Math" panose="02040503050406030204" pitchFamily="18" charset="0"/>
                          </a:rPr>
                        </m:ctrlPr>
                      </m:sSubPr>
                      <m:e>
                        <m:r>
                          <a:rPr lang="es-ES" sz="1100" b="0" i="1">
                            <a:latin typeface="Cambria Math" panose="02040503050406030204" pitchFamily="18" charset="0"/>
                            <a:ea typeface="Cambria Math" panose="02040503050406030204" pitchFamily="18" charset="0"/>
                          </a:rPr>
                          <m:t>𝜃</m:t>
                        </m:r>
                      </m:e>
                      <m:sub>
                        <m:r>
                          <a:rPr lang="es-ES" sz="1100" b="0" i="1">
                            <a:latin typeface="Cambria Math" panose="02040503050406030204" pitchFamily="18" charset="0"/>
                            <a:ea typeface="Cambria Math" panose="02040503050406030204" pitchFamily="18" charset="0"/>
                          </a:rPr>
                          <m:t>𝑚</m:t>
                        </m:r>
                      </m:sub>
                    </m:sSub>
                    <m:r>
                      <a:rPr lang="es-ES" sz="1100" b="0" i="1">
                        <a:latin typeface="Cambria Math" panose="02040503050406030204" pitchFamily="18" charset="0"/>
                        <a:ea typeface="Cambria Math" panose="02040503050406030204" pitchFamily="18" charset="0"/>
                      </a:rPr>
                      <m:t>=</m:t>
                    </m:r>
                    <m:f>
                      <m:fPr>
                        <m:ctrlPr>
                          <a:rPr lang="es-ES" sz="1100" b="0" i="1">
                            <a:latin typeface="Cambria Math" panose="02040503050406030204" pitchFamily="18" charset="0"/>
                            <a:ea typeface="Cambria Math" panose="02040503050406030204" pitchFamily="18" charset="0"/>
                          </a:rPr>
                        </m:ctrlPr>
                      </m:fPr>
                      <m:num>
                        <m:r>
                          <a:rPr lang="es-ES" sz="1100" b="0" i="1">
                            <a:latin typeface="Cambria Math" panose="02040503050406030204" pitchFamily="18" charset="0"/>
                            <a:ea typeface="Cambria Math" panose="02040503050406030204" pitchFamily="18" charset="0"/>
                          </a:rPr>
                          <m:t>(</m:t>
                        </m:r>
                        <m:r>
                          <a:rPr lang="es-ES" sz="1100" b="0" i="1">
                            <a:latin typeface="Cambria Math" panose="02040503050406030204" pitchFamily="18" charset="0"/>
                            <a:ea typeface="Cambria Math" panose="02040503050406030204" pitchFamily="18" charset="0"/>
                          </a:rPr>
                          <m:t>𝜗</m:t>
                        </m:r>
                        <m:r>
                          <a:rPr lang="es-ES" sz="1100" b="0" i="1">
                            <a:latin typeface="Cambria Math" panose="02040503050406030204" pitchFamily="18" charset="0"/>
                            <a:ea typeface="Cambria Math" panose="02040503050406030204" pitchFamily="18" charset="0"/>
                          </a:rPr>
                          <m:t>−</m:t>
                        </m:r>
                        <m:sSub>
                          <m:sSubPr>
                            <m:ctrlPr>
                              <a:rPr lang="es-ES" sz="1100" b="0" i="1">
                                <a:latin typeface="Cambria Math" panose="02040503050406030204" pitchFamily="18" charset="0"/>
                                <a:ea typeface="Cambria Math" panose="02040503050406030204" pitchFamily="18" charset="0"/>
                              </a:rPr>
                            </m:ctrlPr>
                          </m:sSubPr>
                          <m:e>
                            <m:r>
                              <a:rPr lang="es-ES" sz="1100" b="0" i="1">
                                <a:latin typeface="Cambria Math" panose="02040503050406030204" pitchFamily="18" charset="0"/>
                                <a:ea typeface="Cambria Math" panose="02040503050406030204" pitchFamily="18" charset="0"/>
                              </a:rPr>
                              <m:t>𝜃</m:t>
                            </m:r>
                          </m:e>
                          <m:sub>
                            <m:r>
                              <a:rPr lang="es-ES" sz="1100" b="0" i="1">
                                <a:latin typeface="Cambria Math" panose="02040503050406030204" pitchFamily="18" charset="0"/>
                                <a:ea typeface="Cambria Math" panose="02040503050406030204" pitchFamily="18" charset="0"/>
                              </a:rPr>
                              <m:t>𝑎</m:t>
                            </m:r>
                          </m:sub>
                        </m:sSub>
                        <m:r>
                          <a:rPr lang="es-ES" sz="1100" b="0" i="1">
                            <a:latin typeface="Cambria Math" panose="02040503050406030204" pitchFamily="18" charset="0"/>
                            <a:ea typeface="Cambria Math" panose="02040503050406030204" pitchFamily="18" charset="0"/>
                          </a:rPr>
                          <m:t>)</m:t>
                        </m:r>
                      </m:num>
                      <m:den>
                        <m:r>
                          <a:rPr lang="es-ES" sz="1100" b="0" i="1">
                            <a:latin typeface="Cambria Math" panose="02040503050406030204" pitchFamily="18" charset="0"/>
                            <a:ea typeface="Cambria Math" panose="02040503050406030204" pitchFamily="18" charset="0"/>
                          </a:rPr>
                          <m:t>3</m:t>
                        </m:r>
                      </m:den>
                    </m:f>
                    <m:r>
                      <a:rPr lang="es-ES" sz="1100" b="0" i="1">
                        <a:solidFill>
                          <a:schemeClr val="tx1"/>
                        </a:solidFill>
                        <a:effectLst/>
                        <a:latin typeface="Cambria Math" panose="02040503050406030204" pitchFamily="18" charset="0"/>
                        <a:ea typeface="+mn-ea"/>
                        <a:cs typeface="+mn-cs"/>
                      </a:rPr>
                      <m:t>+</m:t>
                    </m:r>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𝜃</m:t>
                        </m:r>
                      </m:e>
                      <m:sub>
                        <m:r>
                          <a:rPr lang="es-ES" sz="1100" b="0" i="1">
                            <a:solidFill>
                              <a:schemeClr val="tx1"/>
                            </a:solidFill>
                            <a:effectLst/>
                            <a:latin typeface="Cambria Math" panose="02040503050406030204" pitchFamily="18" charset="0"/>
                            <a:ea typeface="+mn-ea"/>
                            <a:cs typeface="+mn-cs"/>
                          </a:rPr>
                          <m:t>𝑎</m:t>
                        </m:r>
                      </m:sub>
                    </m:sSub>
                  </m:oMath>
                </m:oMathPara>
              </a14:m>
              <a:endParaRPr lang="es-CO" sz="1100"/>
            </a:p>
          </xdr:txBody>
        </xdr:sp>
      </mc:Choice>
      <mc:Fallback xmlns="">
        <xdr:sp macro="" textlink="">
          <xdr:nvSpPr>
            <xdr:cNvPr id="44" name="CuadroTexto 43">
              <a:extLst>
                <a:ext uri="{FF2B5EF4-FFF2-40B4-BE49-F238E27FC236}">
                  <a16:creationId xmlns:a16="http://schemas.microsoft.com/office/drawing/2014/main" id="{AD79EC13-66E4-492B-A9F5-55580803379E}"/>
                </a:ext>
              </a:extLst>
            </xdr:cNvPr>
            <xdr:cNvSpPr txBox="1"/>
          </xdr:nvSpPr>
          <xdr:spPr>
            <a:xfrm>
              <a:off x="3750366" y="100786922"/>
              <a:ext cx="1217256" cy="322461"/>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ea typeface="Cambria Math" panose="02040503050406030204" pitchFamily="18" charset="0"/>
                </a:rPr>
                <a:t>𝜃_𝑚=((𝜗−𝜃_𝑎))/3</a:t>
              </a:r>
              <a:r>
                <a:rPr lang="es-ES" sz="1100" b="0" i="0">
                  <a:solidFill>
                    <a:schemeClr val="tx1"/>
                  </a:solidFill>
                  <a:effectLst/>
                  <a:latin typeface="Cambria Math" panose="02040503050406030204" pitchFamily="18" charset="0"/>
                  <a:ea typeface="+mn-ea"/>
                  <a:cs typeface="+mn-cs"/>
                </a:rPr>
                <a:t>+𝜃_𝑎</a:t>
              </a:r>
              <a:endParaRPr lang="es-CO" sz="1100"/>
            </a:p>
          </xdr:txBody>
        </xdr:sp>
      </mc:Fallback>
    </mc:AlternateContent>
    <xdr:clientData/>
  </xdr:oneCellAnchor>
  <xdr:oneCellAnchor>
    <xdr:from>
      <xdr:col>12</xdr:col>
      <xdr:colOff>144064</xdr:colOff>
      <xdr:row>567</xdr:row>
      <xdr:rowOff>0</xdr:rowOff>
    </xdr:from>
    <xdr:ext cx="1921669" cy="688597"/>
    <mc:AlternateContent xmlns:mc="http://schemas.openxmlformats.org/markup-compatibility/2006" xmlns:a14="http://schemas.microsoft.com/office/drawing/2010/main">
      <mc:Choice Requires="a14">
        <xdr:sp macro="" textlink="">
          <xdr:nvSpPr>
            <xdr:cNvPr id="45" name="CuadroTexto 44">
              <a:extLst>
                <a:ext uri="{FF2B5EF4-FFF2-40B4-BE49-F238E27FC236}">
                  <a16:creationId xmlns:a16="http://schemas.microsoft.com/office/drawing/2014/main" id="{00000000-0008-0000-0100-00002D000000}"/>
                </a:ext>
              </a:extLst>
            </xdr:cNvPr>
            <xdr:cNvSpPr txBox="1"/>
          </xdr:nvSpPr>
          <xdr:spPr>
            <a:xfrm>
              <a:off x="3115864" y="112976025"/>
              <a:ext cx="1921669" cy="688597"/>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s-CO" sz="1100" b="0" i="1">
                            <a:latin typeface="Cambria Math" panose="02040503050406030204" pitchFamily="18" charset="0"/>
                          </a:rPr>
                          <m:t>𝐼</m:t>
                        </m:r>
                      </m:e>
                      <m:sub>
                        <m:r>
                          <a:rPr lang="es-CO" sz="1100" b="0" i="1">
                            <a:latin typeface="Cambria Math" panose="02040503050406030204" pitchFamily="18" charset="0"/>
                          </a:rPr>
                          <m:t>𝐶𝐶</m:t>
                        </m:r>
                      </m:sub>
                    </m:sSub>
                    <m:r>
                      <a:rPr lang="es-CO" sz="1100" b="0" i="1">
                        <a:latin typeface="Cambria Math" panose="02040503050406030204" pitchFamily="18" charset="0"/>
                      </a:rPr>
                      <m:t>=</m:t>
                    </m:r>
                    <m:sSub>
                      <m:sSubPr>
                        <m:ctrlPr>
                          <a:rPr lang="es-CO" sz="1100" b="0" i="1">
                            <a:latin typeface="Cambria Math" panose="02040503050406030204" pitchFamily="18" charset="0"/>
                          </a:rPr>
                        </m:ctrlPr>
                      </m:sSubPr>
                      <m:e>
                        <m:r>
                          <a:rPr lang="es-CO" sz="1100" b="0" i="1">
                            <a:latin typeface="Cambria Math" panose="02040503050406030204" pitchFamily="18" charset="0"/>
                          </a:rPr>
                          <m:t>𝐶</m:t>
                        </m:r>
                      </m:e>
                      <m:sub>
                        <m:r>
                          <a:rPr lang="es-CO" sz="1100" b="0" i="1">
                            <a:latin typeface="Cambria Math" panose="02040503050406030204" pitchFamily="18" charset="0"/>
                          </a:rPr>
                          <m:t>𝑀</m:t>
                        </m:r>
                      </m:sub>
                    </m:sSub>
                    <m:r>
                      <a:rPr lang="es-CO" sz="1100" b="0" i="1">
                        <a:latin typeface="Cambria Math" panose="02040503050406030204" pitchFamily="18" charset="0"/>
                      </a:rPr>
                      <m:t>∗</m:t>
                    </m:r>
                    <m:rad>
                      <m:radPr>
                        <m:degHide m:val="on"/>
                        <m:ctrlPr>
                          <a:rPr lang="es-CO" sz="1100" b="0" i="1">
                            <a:latin typeface="Cambria Math" panose="02040503050406030204" pitchFamily="18" charset="0"/>
                          </a:rPr>
                        </m:ctrlPr>
                      </m:radPr>
                      <m:deg/>
                      <m:e>
                        <m:f>
                          <m:fPr>
                            <m:ctrlPr>
                              <a:rPr lang="es-CO" sz="1100" b="0" i="1">
                                <a:latin typeface="Cambria Math" panose="02040503050406030204" pitchFamily="18" charset="0"/>
                              </a:rPr>
                            </m:ctrlPr>
                          </m:fPr>
                          <m:num>
                            <m:sSub>
                              <m:sSubPr>
                                <m:ctrlPr>
                                  <a:rPr lang="es-CO" sz="1100" b="0" i="1">
                                    <a:latin typeface="Cambria Math" panose="02040503050406030204" pitchFamily="18" charset="0"/>
                                  </a:rPr>
                                </m:ctrlPr>
                              </m:sSubPr>
                              <m:e>
                                <m:r>
                                  <a:rPr lang="es-CO" sz="1100" b="0" i="1">
                                    <a:latin typeface="Cambria Math" panose="02040503050406030204" pitchFamily="18" charset="0"/>
                                  </a:rPr>
                                  <m:t>𝐾</m:t>
                                </m:r>
                              </m:e>
                              <m:sub>
                                <m:r>
                                  <a:rPr lang="es-CO" sz="1100" b="0" i="1">
                                    <a:latin typeface="Cambria Math" panose="02040503050406030204" pitchFamily="18" charset="0"/>
                                  </a:rPr>
                                  <m:t>𝑐</m:t>
                                </m:r>
                              </m:sub>
                            </m:sSub>
                            <m:r>
                              <a:rPr lang="es-CO" sz="1100" b="0" i="1">
                                <a:latin typeface="Cambria Math" panose="02040503050406030204" pitchFamily="18" charset="0"/>
                              </a:rPr>
                              <m:t>∗</m:t>
                            </m:r>
                            <m:func>
                              <m:funcPr>
                                <m:ctrlPr>
                                  <a:rPr lang="es-CO" sz="1100" b="0" i="1">
                                    <a:latin typeface="Cambria Math" panose="02040503050406030204" pitchFamily="18" charset="0"/>
                                  </a:rPr>
                                </m:ctrlPr>
                              </m:funcPr>
                              <m:fName>
                                <m:r>
                                  <m:rPr>
                                    <m:sty m:val="p"/>
                                  </m:rPr>
                                  <a:rPr lang="es-CO" sz="1100" b="0" i="0">
                                    <a:latin typeface="Cambria Math" panose="02040503050406030204" pitchFamily="18" charset="0"/>
                                  </a:rPr>
                                  <m:t>log</m:t>
                                </m:r>
                              </m:fName>
                              <m:e>
                                <m:d>
                                  <m:dPr>
                                    <m:begChr m:val="["/>
                                    <m:endChr m:val="]"/>
                                    <m:ctrlPr>
                                      <a:rPr lang="es-CO" sz="1100" b="0" i="1">
                                        <a:latin typeface="Cambria Math" panose="02040503050406030204" pitchFamily="18" charset="0"/>
                                      </a:rPr>
                                    </m:ctrlPr>
                                  </m:dPr>
                                  <m:e>
                                    <m:f>
                                      <m:fPr>
                                        <m:ctrlPr>
                                          <a:rPr lang="es-CO" sz="1100" b="0" i="1">
                                            <a:latin typeface="Cambria Math" panose="02040503050406030204" pitchFamily="18" charset="0"/>
                                          </a:rPr>
                                        </m:ctrlPr>
                                      </m:fPr>
                                      <m:num>
                                        <m:sSub>
                                          <m:sSubPr>
                                            <m:ctrlPr>
                                              <a:rPr lang="es-CO" sz="1100" b="0" i="1">
                                                <a:latin typeface="Cambria Math" panose="02040503050406030204" pitchFamily="18" charset="0"/>
                                              </a:rPr>
                                            </m:ctrlPr>
                                          </m:sSubPr>
                                          <m:e>
                                            <m:r>
                                              <a:rPr lang="es-CO" sz="1100" b="0" i="1">
                                                <a:latin typeface="Cambria Math" panose="02040503050406030204" pitchFamily="18" charset="0"/>
                                              </a:rPr>
                                              <m:t>𝑇</m:t>
                                            </m:r>
                                          </m:e>
                                          <m:sub>
                                            <m:r>
                                              <a:rPr lang="es-CO" sz="1100" b="0" i="1">
                                                <a:latin typeface="Cambria Math" panose="02040503050406030204" pitchFamily="18" charset="0"/>
                                              </a:rPr>
                                              <m:t>𝑓</m:t>
                                            </m:r>
                                          </m:sub>
                                        </m:sSub>
                                        <m:r>
                                          <a:rPr lang="es-ES" sz="1100" b="0" i="1">
                                            <a:latin typeface="Cambria Math" panose="02040503050406030204" pitchFamily="18" charset="0"/>
                                          </a:rPr>
                                          <m:t>+</m:t>
                                        </m:r>
                                        <m:r>
                                          <a:rPr lang="es-CO" sz="1100" b="0" i="1">
                                            <a:latin typeface="Cambria Math" panose="02040503050406030204" pitchFamily="18" charset="0"/>
                                          </a:rPr>
                                          <m:t>234</m:t>
                                        </m:r>
                                      </m:num>
                                      <m:den>
                                        <m:sSub>
                                          <m:sSubPr>
                                            <m:ctrlPr>
                                              <a:rPr lang="es-CO" sz="1100" b="0" i="1">
                                                <a:latin typeface="Cambria Math" panose="02040503050406030204" pitchFamily="18" charset="0"/>
                                              </a:rPr>
                                            </m:ctrlPr>
                                          </m:sSubPr>
                                          <m:e>
                                            <m:r>
                                              <a:rPr lang="es-CO" sz="1100" b="0" i="1">
                                                <a:latin typeface="Cambria Math" panose="02040503050406030204" pitchFamily="18" charset="0"/>
                                              </a:rPr>
                                              <m:t>𝑇</m:t>
                                            </m:r>
                                          </m:e>
                                          <m:sub>
                                            <m:r>
                                              <a:rPr lang="es-CO" sz="1100" b="0" i="1">
                                                <a:latin typeface="Cambria Math" panose="02040503050406030204" pitchFamily="18" charset="0"/>
                                              </a:rPr>
                                              <m:t>0</m:t>
                                            </m:r>
                                          </m:sub>
                                        </m:sSub>
                                        <m:r>
                                          <a:rPr lang="es-CO" sz="1100" b="0" i="1">
                                            <a:latin typeface="Cambria Math" panose="02040503050406030204" pitchFamily="18" charset="0"/>
                                          </a:rPr>
                                          <m:t>+234</m:t>
                                        </m:r>
                                      </m:den>
                                    </m:f>
                                  </m:e>
                                </m:d>
                                <m:r>
                                  <a:rPr lang="es-ES" sz="1100" b="0" i="1">
                                    <a:latin typeface="Cambria Math" panose="02040503050406030204" pitchFamily="18" charset="0"/>
                                  </a:rPr>
                                  <m:t> </m:t>
                                </m:r>
                              </m:e>
                            </m:func>
                          </m:num>
                          <m:den>
                            <m:r>
                              <a:rPr lang="es-CO" sz="1100" b="0" i="1">
                                <a:latin typeface="Cambria Math" panose="02040503050406030204" pitchFamily="18" charset="0"/>
                              </a:rPr>
                              <m:t>𝑡</m:t>
                            </m:r>
                          </m:den>
                        </m:f>
                      </m:e>
                    </m:rad>
                  </m:oMath>
                </m:oMathPara>
              </a14:m>
              <a:endParaRPr lang="en-US" sz="1100"/>
            </a:p>
          </xdr:txBody>
        </xdr:sp>
      </mc:Choice>
      <mc:Fallback xmlns="">
        <xdr:sp macro="" textlink="">
          <xdr:nvSpPr>
            <xdr:cNvPr id="45" name="CuadroTexto 44">
              <a:extLst>
                <a:ext uri="{FF2B5EF4-FFF2-40B4-BE49-F238E27FC236}">
                  <a16:creationId xmlns:a16="http://schemas.microsoft.com/office/drawing/2014/main" id="{CB8E51FD-1733-470C-A2CF-E298F4A88553}"/>
                </a:ext>
              </a:extLst>
            </xdr:cNvPr>
            <xdr:cNvSpPr txBox="1"/>
          </xdr:nvSpPr>
          <xdr:spPr>
            <a:xfrm>
              <a:off x="3115864" y="112976025"/>
              <a:ext cx="1921669" cy="688597"/>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CO" sz="1100" b="0" i="0">
                  <a:latin typeface="Cambria Math" panose="02040503050406030204" pitchFamily="18" charset="0"/>
                </a:rPr>
                <a:t>𝐼</a:t>
              </a:r>
              <a:r>
                <a:rPr lang="en-US" sz="1100" b="0" i="0">
                  <a:latin typeface="Cambria Math" panose="02040503050406030204" pitchFamily="18" charset="0"/>
                </a:rPr>
                <a:t>_</a:t>
              </a:r>
              <a:r>
                <a:rPr lang="es-CO" sz="1100" b="0" i="0">
                  <a:latin typeface="Cambria Math" panose="02040503050406030204" pitchFamily="18" charset="0"/>
                </a:rPr>
                <a:t>𝐶𝐶=𝐶_𝑀∗√((𝐾_𝑐∗log⁡〖[(𝑇_𝑓</a:t>
              </a:r>
              <a:r>
                <a:rPr lang="es-ES" sz="1100" b="0" i="0">
                  <a:latin typeface="Cambria Math" panose="02040503050406030204" pitchFamily="18" charset="0"/>
                </a:rPr>
                <a:t>+</a:t>
              </a:r>
              <a:r>
                <a:rPr lang="es-CO" sz="1100" b="0" i="0">
                  <a:latin typeface="Cambria Math" panose="02040503050406030204" pitchFamily="18" charset="0"/>
                </a:rPr>
                <a:t>234)/(𝑇_0+234)]</a:t>
              </a:r>
              <a:r>
                <a:rPr lang="es-ES" sz="1100" b="0" i="0">
                  <a:latin typeface="Cambria Math" panose="02040503050406030204" pitchFamily="18" charset="0"/>
                </a:rPr>
                <a:t>  </a:t>
              </a:r>
              <a:r>
                <a:rPr lang="es-CO" sz="1100" b="0" i="0">
                  <a:latin typeface="Cambria Math" panose="02040503050406030204" pitchFamily="18" charset="0"/>
                </a:rPr>
                <a:t>〗)/𝑡)</a:t>
              </a:r>
              <a:endParaRPr lang="en-US" sz="1100"/>
            </a:p>
          </xdr:txBody>
        </xdr:sp>
      </mc:Fallback>
    </mc:AlternateContent>
    <xdr:clientData/>
  </xdr:oneCellAnchor>
  <xdr:oneCellAnchor>
    <xdr:from>
      <xdr:col>14</xdr:col>
      <xdr:colOff>104775</xdr:colOff>
      <xdr:row>585</xdr:row>
      <xdr:rowOff>19050</xdr:rowOff>
    </xdr:from>
    <xdr:ext cx="1812612" cy="351699"/>
    <mc:AlternateContent xmlns:mc="http://schemas.openxmlformats.org/markup-compatibility/2006" xmlns:a14="http://schemas.microsoft.com/office/drawing/2010/main">
      <mc:Choice Requires="a14">
        <xdr:sp macro="" textlink="">
          <xdr:nvSpPr>
            <xdr:cNvPr id="46" name="CuadroTexto 45">
              <a:extLst>
                <a:ext uri="{FF2B5EF4-FFF2-40B4-BE49-F238E27FC236}">
                  <a16:creationId xmlns:a16="http://schemas.microsoft.com/office/drawing/2014/main" id="{00000000-0008-0000-0100-00002E000000}"/>
                </a:ext>
              </a:extLst>
            </xdr:cNvPr>
            <xdr:cNvSpPr txBox="1"/>
          </xdr:nvSpPr>
          <xdr:spPr>
            <a:xfrm>
              <a:off x="3571875" y="117290850"/>
              <a:ext cx="1812612" cy="351699"/>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100" b="0" i="1">
                        <a:latin typeface="Cambria Math" panose="02040503050406030204" pitchFamily="18" charset="0"/>
                      </a:rPr>
                      <m:t>𝐼𝑐</m:t>
                    </m:r>
                    <m:r>
                      <a:rPr lang="es-ES" sz="1100" b="0" i="1">
                        <a:latin typeface="Cambria Math" panose="02040503050406030204" pitchFamily="18" charset="0"/>
                      </a:rPr>
                      <m:t>= </m:t>
                    </m:r>
                    <m:f>
                      <m:fPr>
                        <m:ctrlPr>
                          <a:rPr lang="es-ES" sz="1100" b="0" i="1">
                            <a:latin typeface="Cambria Math" panose="02040503050406030204" pitchFamily="18" charset="0"/>
                          </a:rPr>
                        </m:ctrlPr>
                      </m:fPr>
                      <m:num>
                        <m:sSub>
                          <m:sSubPr>
                            <m:ctrlPr>
                              <a:rPr lang="es-ES" sz="1100" b="0" i="1">
                                <a:latin typeface="Cambria Math" panose="02040503050406030204" pitchFamily="18" charset="0"/>
                              </a:rPr>
                            </m:ctrlPr>
                          </m:sSubPr>
                          <m:e>
                            <m:r>
                              <a:rPr lang="es-ES" sz="1100" b="0" i="1">
                                <a:latin typeface="Cambria Math" panose="02040503050406030204" pitchFamily="18" charset="0"/>
                              </a:rPr>
                              <m:t>𝑉</m:t>
                            </m:r>
                          </m:e>
                          <m:sub>
                            <m:r>
                              <a:rPr lang="es-ES" sz="1100" b="0" i="1">
                                <a:latin typeface="Cambria Math" panose="02040503050406030204" pitchFamily="18" charset="0"/>
                              </a:rPr>
                              <m:t>𝑓</m:t>
                            </m:r>
                          </m:sub>
                        </m:sSub>
                      </m:num>
                      <m:den>
                        <m:sSub>
                          <m:sSubPr>
                            <m:ctrlPr>
                              <a:rPr lang="es-ES" sz="1100" b="0" i="1">
                                <a:latin typeface="Cambria Math" panose="02040503050406030204" pitchFamily="18" charset="0"/>
                              </a:rPr>
                            </m:ctrlPr>
                          </m:sSubPr>
                          <m:e>
                            <m:r>
                              <a:rPr lang="es-ES" sz="1100" b="0" i="1">
                                <a:latin typeface="Cambria Math" panose="02040503050406030204" pitchFamily="18" charset="0"/>
                              </a:rPr>
                              <m:t>(</m:t>
                            </m:r>
                            <m:r>
                              <a:rPr lang="es-ES" sz="1100" b="0" i="1">
                                <a:latin typeface="Cambria Math" panose="02040503050406030204" pitchFamily="18" charset="0"/>
                              </a:rPr>
                              <m:t>𝑅</m:t>
                            </m:r>
                          </m:e>
                          <m:sub>
                            <m:r>
                              <a:rPr lang="es-ES" sz="1100" b="0" i="1">
                                <a:latin typeface="Cambria Math" panose="02040503050406030204" pitchFamily="18" charset="0"/>
                              </a:rPr>
                              <m:t>𝐶</m:t>
                            </m:r>
                          </m:sub>
                        </m:sSub>
                        <m:r>
                          <a:rPr lang="es-ES" sz="1100" b="0" i="1">
                            <a:latin typeface="Cambria Math" panose="02040503050406030204" pitchFamily="18" charset="0"/>
                          </a:rPr>
                          <m:t>+</m:t>
                        </m:r>
                        <m:sSub>
                          <m:sSubPr>
                            <m:ctrlPr>
                              <a:rPr lang="es-ES" sz="1100" b="0" i="1">
                                <a:latin typeface="Cambria Math" panose="02040503050406030204" pitchFamily="18" charset="0"/>
                              </a:rPr>
                            </m:ctrlPr>
                          </m:sSubPr>
                          <m:e>
                            <m:r>
                              <a:rPr lang="es-ES" sz="1100" b="0" i="1">
                                <a:latin typeface="Cambria Math" panose="02040503050406030204" pitchFamily="18" charset="0"/>
                              </a:rPr>
                              <m:t>𝑅</m:t>
                            </m:r>
                          </m:e>
                          <m:sub>
                            <m:r>
                              <a:rPr lang="es-ES" sz="1100" b="0" i="1">
                                <a:latin typeface="Cambria Math" panose="02040503050406030204" pitchFamily="18" charset="0"/>
                              </a:rPr>
                              <m:t>𝑇</m:t>
                            </m:r>
                          </m:sub>
                        </m:sSub>
                        <m:r>
                          <a:rPr lang="es-ES" sz="1100" b="0" i="1">
                            <a:latin typeface="Cambria Math" panose="02040503050406030204" pitchFamily="18" charset="0"/>
                          </a:rPr>
                          <m:t>)∗</m:t>
                        </m:r>
                        <m:r>
                          <a:rPr lang="es-ES" sz="1100" b="0" i="1">
                            <a:latin typeface="Cambria Math" panose="02040503050406030204" pitchFamily="18" charset="0"/>
                          </a:rPr>
                          <m:t>𝐿</m:t>
                        </m:r>
                      </m:den>
                    </m:f>
                    <m:r>
                      <a:rPr lang="es-ES" sz="1100" b="0" i="1">
                        <a:solidFill>
                          <a:schemeClr val="tx1"/>
                        </a:solidFill>
                        <a:effectLst/>
                        <a:latin typeface="Cambria Math" panose="02040503050406030204" pitchFamily="18" charset="0"/>
                        <a:ea typeface="+mn-ea"/>
                        <a:cs typeface="+mn-cs"/>
                      </a:rPr>
                      <m:t>≥10∗</m:t>
                    </m:r>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𝐼</m:t>
                        </m:r>
                      </m:e>
                      <m:sub>
                        <m:r>
                          <a:rPr lang="es-CO" sz="1100" b="0" i="1">
                            <a:solidFill>
                              <a:schemeClr val="tx1"/>
                            </a:solidFill>
                            <a:effectLst/>
                            <a:latin typeface="Cambria Math" panose="02040503050406030204" pitchFamily="18" charset="0"/>
                            <a:ea typeface="+mn-ea"/>
                            <a:cs typeface="+mn-cs"/>
                          </a:rPr>
                          <m:t>𝑝</m:t>
                        </m:r>
                      </m:sub>
                    </m:sSub>
                    <m:r>
                      <a:rPr lang="es-ES" sz="1100" b="0" i="1">
                        <a:solidFill>
                          <a:schemeClr val="tx1"/>
                        </a:solidFill>
                        <a:effectLst/>
                        <a:latin typeface="Cambria Math" panose="02040503050406030204" pitchFamily="18" charset="0"/>
                        <a:ea typeface="+mn-ea"/>
                        <a:cs typeface="+mn-cs"/>
                      </a:rPr>
                      <m:t> </m:t>
                    </m:r>
                    <m:r>
                      <a:rPr lang="es-ES" sz="1100" b="0" i="1">
                        <a:latin typeface="Cambria Math" panose="02040503050406030204" pitchFamily="18" charset="0"/>
                      </a:rPr>
                      <m:t> </m:t>
                    </m:r>
                  </m:oMath>
                </m:oMathPara>
              </a14:m>
              <a:endParaRPr lang="es-CO" sz="1100"/>
            </a:p>
          </xdr:txBody>
        </xdr:sp>
      </mc:Choice>
      <mc:Fallback xmlns="">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3571875" y="117290850"/>
              <a:ext cx="1812612" cy="351699"/>
            </a:xfrm>
            <a:prstGeom prst="rect">
              <a:avLst/>
            </a:prstGeom>
            <a:blipFill dpi="0" rotWithShape="1">
              <a:blip xmlns:r="http://schemas.openxmlformats.org/officeDocument/2006/relationships" r:embed="rId21">
                <a:extLst>
                  <a:ext uri="{BEBA8EAE-BF5A-486C-A8C5-ECC9F3942E4B}">
                    <a14:imgProps xmlns:a14="http://schemas.microsoft.com/office/drawing/2010/main">
                      <a14:imgLayer r:embed="rId2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rPr>
                <a:t>𝐼𝑐=  𝑉_𝑓/(〖(𝑅〗_𝐶+𝑅_𝑇)∗𝐿)</a:t>
              </a:r>
              <a:r>
                <a:rPr lang="es-ES" sz="1100" b="0" i="0">
                  <a:solidFill>
                    <a:schemeClr val="tx1"/>
                  </a:solidFill>
                  <a:effectLst/>
                  <a:latin typeface="Cambria Math" panose="02040503050406030204" pitchFamily="18" charset="0"/>
                  <a:ea typeface="+mn-ea"/>
                  <a:cs typeface="+mn-cs"/>
                </a:rPr>
                <a:t>≥10∗𝐼_</a:t>
              </a:r>
              <a:r>
                <a:rPr lang="es-CO" sz="1100" b="0" i="0">
                  <a:solidFill>
                    <a:schemeClr val="tx1"/>
                  </a:solidFill>
                  <a:effectLst/>
                  <a:latin typeface="Cambria Math" panose="02040503050406030204" pitchFamily="18" charset="0"/>
                  <a:ea typeface="+mn-ea"/>
                  <a:cs typeface="+mn-cs"/>
                </a:rPr>
                <a:t>𝑝</a:t>
              </a:r>
              <a:r>
                <a:rPr lang="es-ES" sz="1100" b="0" i="0">
                  <a:solidFill>
                    <a:schemeClr val="tx1"/>
                  </a:solidFill>
                  <a:effectLst/>
                  <a:latin typeface="Cambria Math" panose="02040503050406030204" pitchFamily="18" charset="0"/>
                  <a:ea typeface="+mn-ea"/>
                  <a:cs typeface="+mn-cs"/>
                </a:rPr>
                <a:t>  </a:t>
              </a:r>
              <a:r>
                <a:rPr lang="es-ES" sz="1100" b="0" i="0">
                  <a:latin typeface="Cambria Math" panose="02040503050406030204" pitchFamily="18" charset="0"/>
                </a:rPr>
                <a:t> </a:t>
              </a:r>
              <a:endParaRPr lang="es-CO" sz="1100"/>
            </a:p>
          </xdr:txBody>
        </xdr:sp>
      </mc:Fallback>
    </mc:AlternateContent>
    <xdr:clientData/>
  </xdr:oneCellAnchor>
  <xdr:oneCellAnchor>
    <xdr:from>
      <xdr:col>12</xdr:col>
      <xdr:colOff>86914</xdr:colOff>
      <xdr:row>571</xdr:row>
      <xdr:rowOff>0</xdr:rowOff>
    </xdr:from>
    <xdr:ext cx="2027636" cy="688597"/>
    <mc:AlternateContent xmlns:mc="http://schemas.openxmlformats.org/markup-compatibility/2006" xmlns:a14="http://schemas.microsoft.com/office/drawing/2010/main">
      <mc:Choice Requires="a14">
        <xdr:sp macro="" textlink="">
          <xdr:nvSpPr>
            <xdr:cNvPr id="47" name="CuadroTexto 46">
              <a:extLst>
                <a:ext uri="{FF2B5EF4-FFF2-40B4-BE49-F238E27FC236}">
                  <a16:creationId xmlns:a16="http://schemas.microsoft.com/office/drawing/2014/main" id="{00000000-0008-0000-0100-00002F000000}"/>
                </a:ext>
              </a:extLst>
            </xdr:cNvPr>
            <xdr:cNvSpPr txBox="1"/>
          </xdr:nvSpPr>
          <xdr:spPr>
            <a:xfrm>
              <a:off x="3058714" y="114071400"/>
              <a:ext cx="2027636" cy="688597"/>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s-CO" sz="1100" b="0" i="1">
                            <a:latin typeface="Cambria Math" panose="02040503050406030204" pitchFamily="18" charset="0"/>
                          </a:rPr>
                          <m:t>𝐼</m:t>
                        </m:r>
                      </m:e>
                      <m:sub>
                        <m:r>
                          <a:rPr lang="es-CO" sz="1100" b="0" i="1">
                            <a:latin typeface="Cambria Math" panose="02040503050406030204" pitchFamily="18" charset="0"/>
                          </a:rPr>
                          <m:t>𝐶𝐶</m:t>
                        </m:r>
                      </m:sub>
                    </m:sSub>
                    <m:r>
                      <a:rPr lang="es-CO" sz="1100" b="0" i="1">
                        <a:latin typeface="Cambria Math" panose="02040503050406030204" pitchFamily="18" charset="0"/>
                      </a:rPr>
                      <m:t>=</m:t>
                    </m:r>
                    <m:sSub>
                      <m:sSubPr>
                        <m:ctrlPr>
                          <a:rPr lang="es-CO" sz="1100" b="0" i="1">
                            <a:latin typeface="Cambria Math" panose="02040503050406030204" pitchFamily="18" charset="0"/>
                          </a:rPr>
                        </m:ctrlPr>
                      </m:sSubPr>
                      <m:e>
                        <m:r>
                          <a:rPr lang="es-CO" sz="1100" b="0" i="1">
                            <a:latin typeface="Cambria Math" panose="02040503050406030204" pitchFamily="18" charset="0"/>
                          </a:rPr>
                          <m:t>𝐶</m:t>
                        </m:r>
                      </m:e>
                      <m:sub>
                        <m:r>
                          <a:rPr lang="es-CO" sz="1100" b="0" i="1">
                            <a:latin typeface="Cambria Math" panose="02040503050406030204" pitchFamily="18" charset="0"/>
                          </a:rPr>
                          <m:t>𝑀</m:t>
                        </m:r>
                      </m:sub>
                    </m:sSub>
                    <m:r>
                      <a:rPr lang="es-CO" sz="1100" b="0" i="1">
                        <a:latin typeface="Cambria Math" panose="02040503050406030204" pitchFamily="18" charset="0"/>
                      </a:rPr>
                      <m:t>∗</m:t>
                    </m:r>
                    <m:rad>
                      <m:radPr>
                        <m:degHide m:val="on"/>
                        <m:ctrlPr>
                          <a:rPr lang="es-CO" sz="1100" b="0" i="1">
                            <a:latin typeface="Cambria Math" panose="02040503050406030204" pitchFamily="18" charset="0"/>
                          </a:rPr>
                        </m:ctrlPr>
                      </m:radPr>
                      <m:deg/>
                      <m:e>
                        <m:f>
                          <m:fPr>
                            <m:ctrlPr>
                              <a:rPr lang="es-CO" sz="1100" b="0" i="1">
                                <a:latin typeface="Cambria Math" panose="02040503050406030204" pitchFamily="18" charset="0"/>
                              </a:rPr>
                            </m:ctrlPr>
                          </m:fPr>
                          <m:num>
                            <m:sSub>
                              <m:sSubPr>
                                <m:ctrlPr>
                                  <a:rPr lang="es-CO" sz="1100" b="0" i="1">
                                    <a:latin typeface="Cambria Math" panose="02040503050406030204" pitchFamily="18" charset="0"/>
                                  </a:rPr>
                                </m:ctrlPr>
                              </m:sSubPr>
                              <m:e>
                                <m:r>
                                  <a:rPr lang="es-CO" sz="1100" b="0" i="1">
                                    <a:latin typeface="Cambria Math" panose="02040503050406030204" pitchFamily="18" charset="0"/>
                                  </a:rPr>
                                  <m:t>𝐾</m:t>
                                </m:r>
                              </m:e>
                              <m:sub>
                                <m:r>
                                  <a:rPr lang="es-ES" sz="1100" b="0" i="1">
                                    <a:latin typeface="Cambria Math" panose="02040503050406030204" pitchFamily="18" charset="0"/>
                                  </a:rPr>
                                  <m:t>𝑎</m:t>
                                </m:r>
                              </m:sub>
                            </m:sSub>
                            <m:r>
                              <a:rPr lang="es-CO" sz="1100" b="0" i="1">
                                <a:latin typeface="Cambria Math" panose="02040503050406030204" pitchFamily="18" charset="0"/>
                              </a:rPr>
                              <m:t>∗</m:t>
                            </m:r>
                            <m:func>
                              <m:funcPr>
                                <m:ctrlPr>
                                  <a:rPr lang="es-CO" sz="1100" b="0" i="1">
                                    <a:latin typeface="Cambria Math" panose="02040503050406030204" pitchFamily="18" charset="0"/>
                                  </a:rPr>
                                </m:ctrlPr>
                              </m:funcPr>
                              <m:fName>
                                <m:r>
                                  <m:rPr>
                                    <m:sty m:val="p"/>
                                  </m:rPr>
                                  <a:rPr lang="es-CO" sz="1100" b="0" i="0">
                                    <a:latin typeface="Cambria Math" panose="02040503050406030204" pitchFamily="18" charset="0"/>
                                  </a:rPr>
                                  <m:t>log</m:t>
                                </m:r>
                              </m:fName>
                              <m:e>
                                <m:d>
                                  <m:dPr>
                                    <m:begChr m:val="["/>
                                    <m:endChr m:val="]"/>
                                    <m:ctrlPr>
                                      <a:rPr lang="es-CO" sz="1100" b="0" i="1">
                                        <a:latin typeface="Cambria Math" panose="02040503050406030204" pitchFamily="18" charset="0"/>
                                      </a:rPr>
                                    </m:ctrlPr>
                                  </m:dPr>
                                  <m:e>
                                    <m:f>
                                      <m:fPr>
                                        <m:ctrlPr>
                                          <a:rPr lang="es-CO" sz="1100" b="0" i="1">
                                            <a:latin typeface="Cambria Math" panose="02040503050406030204" pitchFamily="18" charset="0"/>
                                          </a:rPr>
                                        </m:ctrlPr>
                                      </m:fPr>
                                      <m:num>
                                        <m:sSub>
                                          <m:sSubPr>
                                            <m:ctrlPr>
                                              <a:rPr lang="es-CO" sz="1100" b="0" i="1">
                                                <a:latin typeface="Cambria Math" panose="02040503050406030204" pitchFamily="18" charset="0"/>
                                              </a:rPr>
                                            </m:ctrlPr>
                                          </m:sSubPr>
                                          <m:e>
                                            <m:r>
                                              <a:rPr lang="es-CO" sz="1100" b="0" i="1">
                                                <a:latin typeface="Cambria Math" panose="02040503050406030204" pitchFamily="18" charset="0"/>
                                              </a:rPr>
                                              <m:t>𝑇</m:t>
                                            </m:r>
                                          </m:e>
                                          <m:sub>
                                            <m:r>
                                              <a:rPr lang="es-CO" sz="1100" b="0" i="1">
                                                <a:latin typeface="Cambria Math" panose="02040503050406030204" pitchFamily="18" charset="0"/>
                                              </a:rPr>
                                              <m:t>𝑓</m:t>
                                            </m:r>
                                          </m:sub>
                                        </m:sSub>
                                        <m:r>
                                          <a:rPr lang="es-ES" sz="1100" b="0" i="1">
                                            <a:latin typeface="Cambria Math" panose="02040503050406030204" pitchFamily="18" charset="0"/>
                                          </a:rPr>
                                          <m:t>+</m:t>
                                        </m:r>
                                        <m:r>
                                          <a:rPr lang="es-CO" sz="1100" b="0" i="1">
                                            <a:latin typeface="Cambria Math" panose="02040503050406030204" pitchFamily="18" charset="0"/>
                                          </a:rPr>
                                          <m:t>2</m:t>
                                        </m:r>
                                        <m:r>
                                          <a:rPr lang="es-ES" sz="1100" b="0" i="1">
                                            <a:latin typeface="Cambria Math" panose="02040503050406030204" pitchFamily="18" charset="0"/>
                                          </a:rPr>
                                          <m:t>28</m:t>
                                        </m:r>
                                      </m:num>
                                      <m:den>
                                        <m:sSub>
                                          <m:sSubPr>
                                            <m:ctrlPr>
                                              <a:rPr lang="es-CO" sz="1100" b="0" i="1">
                                                <a:latin typeface="Cambria Math" panose="02040503050406030204" pitchFamily="18" charset="0"/>
                                              </a:rPr>
                                            </m:ctrlPr>
                                          </m:sSubPr>
                                          <m:e>
                                            <m:r>
                                              <a:rPr lang="es-CO" sz="1100" b="0" i="1">
                                                <a:latin typeface="Cambria Math" panose="02040503050406030204" pitchFamily="18" charset="0"/>
                                              </a:rPr>
                                              <m:t>𝑇</m:t>
                                            </m:r>
                                          </m:e>
                                          <m:sub>
                                            <m:r>
                                              <a:rPr lang="es-CO" sz="1100" b="0" i="1">
                                                <a:latin typeface="Cambria Math" panose="02040503050406030204" pitchFamily="18" charset="0"/>
                                              </a:rPr>
                                              <m:t>0</m:t>
                                            </m:r>
                                          </m:sub>
                                        </m:sSub>
                                        <m:r>
                                          <a:rPr lang="es-CO" sz="1100" b="0" i="1">
                                            <a:latin typeface="Cambria Math" panose="02040503050406030204" pitchFamily="18" charset="0"/>
                                          </a:rPr>
                                          <m:t>+2</m:t>
                                        </m:r>
                                        <m:r>
                                          <a:rPr lang="es-ES" sz="1100" b="0" i="1">
                                            <a:latin typeface="Cambria Math" panose="02040503050406030204" pitchFamily="18" charset="0"/>
                                          </a:rPr>
                                          <m:t>28</m:t>
                                        </m:r>
                                      </m:den>
                                    </m:f>
                                  </m:e>
                                </m:d>
                                <m:r>
                                  <a:rPr lang="es-ES" sz="1100" b="0" i="1">
                                    <a:latin typeface="Cambria Math" panose="02040503050406030204" pitchFamily="18" charset="0"/>
                                  </a:rPr>
                                  <m:t> </m:t>
                                </m:r>
                              </m:e>
                            </m:func>
                          </m:num>
                          <m:den>
                            <m:r>
                              <a:rPr lang="es-CO" sz="1100" b="0" i="1">
                                <a:latin typeface="Cambria Math" panose="02040503050406030204" pitchFamily="18" charset="0"/>
                              </a:rPr>
                              <m:t>𝑡</m:t>
                            </m:r>
                          </m:den>
                        </m:f>
                      </m:e>
                    </m:rad>
                  </m:oMath>
                </m:oMathPara>
              </a14:m>
              <a:endParaRPr lang="en-US" sz="1100"/>
            </a:p>
          </xdr:txBody>
        </xdr:sp>
      </mc:Choice>
      <mc:Fallback xmlns="">
        <xdr:sp macro="" textlink="">
          <xdr:nvSpPr>
            <xdr:cNvPr id="47" name="CuadroTexto 46">
              <a:extLst>
                <a:ext uri="{FF2B5EF4-FFF2-40B4-BE49-F238E27FC236}">
                  <a16:creationId xmlns:a16="http://schemas.microsoft.com/office/drawing/2014/main" id="{F2A4D968-2AE5-4121-91AD-8C45DB47850F}"/>
                </a:ext>
              </a:extLst>
            </xdr:cNvPr>
            <xdr:cNvSpPr txBox="1"/>
          </xdr:nvSpPr>
          <xdr:spPr>
            <a:xfrm>
              <a:off x="3058714" y="114071400"/>
              <a:ext cx="2027636" cy="688597"/>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CO" sz="1100" b="0" i="0">
                  <a:latin typeface="Cambria Math" panose="02040503050406030204" pitchFamily="18" charset="0"/>
                </a:rPr>
                <a:t>𝐼</a:t>
              </a:r>
              <a:r>
                <a:rPr lang="en-US" sz="1100" b="0" i="0">
                  <a:latin typeface="Cambria Math" panose="02040503050406030204" pitchFamily="18" charset="0"/>
                </a:rPr>
                <a:t>_</a:t>
              </a:r>
              <a:r>
                <a:rPr lang="es-CO" sz="1100" b="0" i="0">
                  <a:latin typeface="Cambria Math" panose="02040503050406030204" pitchFamily="18" charset="0"/>
                </a:rPr>
                <a:t>𝐶𝐶=𝐶_𝑀∗√((𝐾_</a:t>
              </a:r>
              <a:r>
                <a:rPr lang="es-ES" sz="1100" b="0" i="0">
                  <a:latin typeface="Cambria Math" panose="02040503050406030204" pitchFamily="18" charset="0"/>
                </a:rPr>
                <a:t>𝑎</a:t>
              </a:r>
              <a:r>
                <a:rPr lang="es-CO" sz="1100" b="0" i="0">
                  <a:latin typeface="Cambria Math" panose="02040503050406030204" pitchFamily="18" charset="0"/>
                </a:rPr>
                <a:t>∗log⁡〖[(𝑇_𝑓</a:t>
              </a:r>
              <a:r>
                <a:rPr lang="es-ES" sz="1100" b="0" i="0">
                  <a:latin typeface="Cambria Math" panose="02040503050406030204" pitchFamily="18" charset="0"/>
                </a:rPr>
                <a:t>+</a:t>
              </a:r>
              <a:r>
                <a:rPr lang="es-CO" sz="1100" b="0" i="0">
                  <a:latin typeface="Cambria Math" panose="02040503050406030204" pitchFamily="18" charset="0"/>
                </a:rPr>
                <a:t>2</a:t>
              </a:r>
              <a:r>
                <a:rPr lang="es-ES" sz="1100" b="0" i="0">
                  <a:latin typeface="Cambria Math" panose="02040503050406030204" pitchFamily="18" charset="0"/>
                </a:rPr>
                <a:t>28</a:t>
              </a:r>
              <a:r>
                <a:rPr lang="es-CO" sz="1100" b="0" i="0">
                  <a:latin typeface="Cambria Math" panose="02040503050406030204" pitchFamily="18" charset="0"/>
                </a:rPr>
                <a:t>)/(𝑇_0+2</a:t>
              </a:r>
              <a:r>
                <a:rPr lang="es-ES" sz="1100" b="0" i="0">
                  <a:latin typeface="Cambria Math" panose="02040503050406030204" pitchFamily="18" charset="0"/>
                </a:rPr>
                <a:t>28</a:t>
              </a:r>
              <a:r>
                <a:rPr lang="es-CO" sz="1100" b="0" i="0">
                  <a:latin typeface="Cambria Math" panose="02040503050406030204" pitchFamily="18" charset="0"/>
                </a:rPr>
                <a:t>)</a:t>
              </a:r>
              <a:r>
                <a:rPr lang="es-ES" sz="1100" b="0" i="0">
                  <a:latin typeface="Cambria Math" panose="02040503050406030204" pitchFamily="18" charset="0"/>
                </a:rPr>
                <a:t>]  </a:t>
              </a:r>
              <a:r>
                <a:rPr lang="es-CO" sz="1100" b="0" i="0">
                  <a:latin typeface="Cambria Math" panose="02040503050406030204" pitchFamily="18" charset="0"/>
                </a:rPr>
                <a:t>〗)/𝑡)</a:t>
              </a:r>
              <a:endParaRPr lang="en-US" sz="1100"/>
            </a:p>
          </xdr:txBody>
        </xdr:sp>
      </mc:Fallback>
    </mc:AlternateContent>
    <xdr:clientData/>
  </xdr:oneCellAnchor>
  <xdr:oneCellAnchor>
    <xdr:from>
      <xdr:col>13</xdr:col>
      <xdr:colOff>146602</xdr:colOff>
      <xdr:row>505</xdr:row>
      <xdr:rowOff>125895</xdr:rowOff>
    </xdr:from>
    <xdr:ext cx="1783630" cy="635174"/>
    <mc:AlternateContent xmlns:mc="http://schemas.openxmlformats.org/markup-compatibility/2006" xmlns:a14="http://schemas.microsoft.com/office/drawing/2010/main">
      <mc:Choice Requires="a14">
        <xdr:sp macro="" textlink="">
          <xdr:nvSpPr>
            <xdr:cNvPr id="48" name="CuadroTexto 47">
              <a:extLst>
                <a:ext uri="{FF2B5EF4-FFF2-40B4-BE49-F238E27FC236}">
                  <a16:creationId xmlns:a16="http://schemas.microsoft.com/office/drawing/2014/main" id="{00000000-0008-0000-0100-000030000000}"/>
                </a:ext>
              </a:extLst>
            </xdr:cNvPr>
            <xdr:cNvSpPr txBox="1"/>
          </xdr:nvSpPr>
          <xdr:spPr>
            <a:xfrm>
              <a:off x="3366052" y="99871695"/>
              <a:ext cx="1783630" cy="635174"/>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100" b="0" i="1">
                        <a:latin typeface="Cambria Math" panose="02040503050406030204" pitchFamily="18" charset="0"/>
                      </a:rPr>
                      <m:t>𝑟</m:t>
                    </m:r>
                    <m:r>
                      <a:rPr lang="es-ES" sz="1100" b="0" i="1">
                        <a:latin typeface="Cambria Math" panose="02040503050406030204" pitchFamily="18" charset="0"/>
                      </a:rPr>
                      <m:t>=</m:t>
                    </m:r>
                    <m:f>
                      <m:fPr>
                        <m:ctrlPr>
                          <a:rPr lang="es-ES" sz="1100" b="0" i="1">
                            <a:latin typeface="Cambria Math" panose="02040503050406030204" pitchFamily="18" charset="0"/>
                          </a:rPr>
                        </m:ctrlPr>
                      </m:fPr>
                      <m:num>
                        <m:sSup>
                          <m:sSupPr>
                            <m:ctrlPr>
                              <a:rPr lang="es-ES" sz="1100" b="0" i="1">
                                <a:latin typeface="Cambria Math" panose="02040503050406030204" pitchFamily="18" charset="0"/>
                              </a:rPr>
                            </m:ctrlPr>
                          </m:sSupPr>
                          <m:e>
                            <m:d>
                              <m:dPr>
                                <m:ctrlPr>
                                  <a:rPr lang="es-ES" sz="1100" b="0" i="1">
                                    <a:solidFill>
                                      <a:schemeClr val="tx1"/>
                                    </a:solidFill>
                                    <a:effectLst/>
                                    <a:latin typeface="Cambria Math" panose="02040503050406030204" pitchFamily="18" charset="0"/>
                                    <a:ea typeface="+mn-ea"/>
                                    <a:cs typeface="+mn-cs"/>
                                  </a:rPr>
                                </m:ctrlPr>
                              </m:dPr>
                              <m:e>
                                <m:r>
                                  <a:rPr lang="es-ES" sz="1100" b="0" i="1">
                                    <a:solidFill>
                                      <a:schemeClr val="tx1"/>
                                    </a:solidFill>
                                    <a:effectLst/>
                                    <a:latin typeface="Cambria Math" panose="02040503050406030204" pitchFamily="18" charset="0"/>
                                    <a:ea typeface="+mn-ea"/>
                                    <a:cs typeface="+mn-cs"/>
                                  </a:rPr>
                                  <m:t>1+</m:t>
                                </m:r>
                                <m:f>
                                  <m:fPr>
                                    <m:ctrlPr>
                                      <a:rPr lang="es-ES" sz="1100" b="0" i="1">
                                        <a:solidFill>
                                          <a:schemeClr val="tx1"/>
                                        </a:solidFill>
                                        <a:effectLst/>
                                        <a:latin typeface="Cambria Math" panose="02040503050406030204" pitchFamily="18" charset="0"/>
                                        <a:ea typeface="+mn-ea"/>
                                        <a:cs typeface="+mn-cs"/>
                                      </a:rPr>
                                    </m:ctrlPr>
                                  </m:fPr>
                                  <m:num>
                                    <m:r>
                                      <a:rPr lang="es-ES" sz="1100" b="0" i="1">
                                        <a:solidFill>
                                          <a:schemeClr val="tx1"/>
                                        </a:solidFill>
                                        <a:effectLst/>
                                        <a:latin typeface="Cambria Math" panose="02040503050406030204" pitchFamily="18" charset="0"/>
                                        <a:ea typeface="+mn-ea"/>
                                        <a:cs typeface="+mn-cs"/>
                                      </a:rPr>
                                      <m:t>𝑎</m:t>
                                    </m:r>
                                  </m:num>
                                  <m:den>
                                    <m:r>
                                      <a:rPr lang="es-ES" sz="1100" b="0" i="1">
                                        <a:solidFill>
                                          <a:schemeClr val="tx1"/>
                                        </a:solidFill>
                                        <a:effectLst/>
                                        <a:latin typeface="Cambria Math" panose="02040503050406030204" pitchFamily="18" charset="0"/>
                                        <a:ea typeface="+mn-ea"/>
                                        <a:cs typeface="+mn-cs"/>
                                      </a:rPr>
                                      <m:t>100</m:t>
                                    </m:r>
                                  </m:den>
                                </m:f>
                              </m:e>
                            </m:d>
                          </m:e>
                          <m:sup>
                            <m:r>
                              <a:rPr lang="es-ES" sz="1100" b="0" i="1">
                                <a:latin typeface="Cambria Math" panose="02040503050406030204" pitchFamily="18" charset="0"/>
                              </a:rPr>
                              <m:t>2</m:t>
                            </m:r>
                          </m:sup>
                        </m:sSup>
                        <m:r>
                          <a:rPr lang="es-ES" sz="1100" b="0" i="1">
                            <a:latin typeface="Cambria Math" panose="02040503050406030204" pitchFamily="18" charset="0"/>
                          </a:rPr>
                          <m:t>∗</m:t>
                        </m:r>
                        <m:sSup>
                          <m:sSupPr>
                            <m:ctrlPr>
                              <a:rPr lang="es-ES" sz="1100" b="0" i="1">
                                <a:solidFill>
                                  <a:schemeClr val="tx1"/>
                                </a:solidFill>
                                <a:effectLst/>
                                <a:latin typeface="Cambria Math" panose="02040503050406030204" pitchFamily="18" charset="0"/>
                                <a:ea typeface="+mn-ea"/>
                                <a:cs typeface="+mn-cs"/>
                              </a:rPr>
                            </m:ctrlPr>
                          </m:sSupPr>
                          <m:e>
                            <m:d>
                              <m:dPr>
                                <m:ctrlPr>
                                  <a:rPr lang="es-ES" sz="1100" b="0" i="1">
                                    <a:solidFill>
                                      <a:schemeClr val="tx1"/>
                                    </a:solidFill>
                                    <a:effectLst/>
                                    <a:latin typeface="Cambria Math" panose="02040503050406030204" pitchFamily="18" charset="0"/>
                                    <a:ea typeface="+mn-ea"/>
                                    <a:cs typeface="+mn-cs"/>
                                  </a:rPr>
                                </m:ctrlPr>
                              </m:dPr>
                              <m:e>
                                <m:r>
                                  <a:rPr lang="es-ES" sz="1100" b="0" i="1">
                                    <a:solidFill>
                                      <a:schemeClr val="tx1"/>
                                    </a:solidFill>
                                    <a:effectLst/>
                                    <a:latin typeface="Cambria Math" panose="02040503050406030204" pitchFamily="18" charset="0"/>
                                    <a:ea typeface="+mn-ea"/>
                                    <a:cs typeface="+mn-cs"/>
                                  </a:rPr>
                                  <m:t>1+</m:t>
                                </m:r>
                                <m:f>
                                  <m:fPr>
                                    <m:ctrlPr>
                                      <a:rPr lang="es-ES" sz="1100" b="0" i="1">
                                        <a:solidFill>
                                          <a:schemeClr val="tx1"/>
                                        </a:solidFill>
                                        <a:effectLst/>
                                        <a:latin typeface="Cambria Math" panose="02040503050406030204" pitchFamily="18" charset="0"/>
                                        <a:ea typeface="+mn-ea"/>
                                        <a:cs typeface="+mn-cs"/>
                                      </a:rPr>
                                    </m:ctrlPr>
                                  </m:fPr>
                                  <m:num>
                                    <m:r>
                                      <a:rPr lang="es-ES" sz="1100" b="0" i="1">
                                        <a:solidFill>
                                          <a:schemeClr val="tx1"/>
                                        </a:solidFill>
                                        <a:effectLst/>
                                        <a:latin typeface="Cambria Math" panose="02040503050406030204" pitchFamily="18" charset="0"/>
                                        <a:ea typeface="+mn-ea"/>
                                        <a:cs typeface="+mn-cs"/>
                                      </a:rPr>
                                      <m:t>𝑏</m:t>
                                    </m:r>
                                  </m:num>
                                  <m:den>
                                    <m:r>
                                      <a:rPr lang="es-ES" sz="1100" b="0" i="1">
                                        <a:solidFill>
                                          <a:schemeClr val="tx1"/>
                                        </a:solidFill>
                                        <a:effectLst/>
                                        <a:latin typeface="Cambria Math" panose="02040503050406030204" pitchFamily="18" charset="0"/>
                                        <a:ea typeface="+mn-ea"/>
                                        <a:cs typeface="+mn-cs"/>
                                      </a:rPr>
                                      <m:t>100</m:t>
                                    </m:r>
                                  </m:den>
                                </m:f>
                              </m:e>
                            </m:d>
                          </m:e>
                          <m:sup>
                            <m:r>
                              <a:rPr lang="es-ES" sz="1100" b="0" i="1">
                                <a:solidFill>
                                  <a:schemeClr val="tx1"/>
                                </a:solidFill>
                                <a:effectLst/>
                                <a:latin typeface="Cambria Math" panose="02040503050406030204" pitchFamily="18" charset="0"/>
                                <a:ea typeface="+mn-ea"/>
                                <a:cs typeface="+mn-cs"/>
                              </a:rPr>
                              <m:t>2</m:t>
                            </m:r>
                          </m:sup>
                        </m:sSup>
                      </m:num>
                      <m:den>
                        <m:d>
                          <m:dPr>
                            <m:ctrlPr>
                              <a:rPr lang="es-ES" sz="1100" b="0" i="1">
                                <a:solidFill>
                                  <a:schemeClr val="tx1"/>
                                </a:solidFill>
                                <a:effectLst/>
                                <a:latin typeface="Cambria Math" panose="02040503050406030204" pitchFamily="18" charset="0"/>
                                <a:ea typeface="+mn-ea"/>
                                <a:cs typeface="+mn-cs"/>
                              </a:rPr>
                            </m:ctrlPr>
                          </m:dPr>
                          <m:e>
                            <m:r>
                              <a:rPr lang="es-ES" sz="1100" b="0" i="1">
                                <a:solidFill>
                                  <a:schemeClr val="tx1"/>
                                </a:solidFill>
                                <a:effectLst/>
                                <a:latin typeface="Cambria Math" panose="02040503050406030204" pitchFamily="18" charset="0"/>
                                <a:ea typeface="+mn-ea"/>
                                <a:cs typeface="+mn-cs"/>
                              </a:rPr>
                              <m:t>1+</m:t>
                            </m:r>
                            <m:f>
                              <m:fPr>
                                <m:ctrlPr>
                                  <a:rPr lang="es-ES" sz="1100" b="0" i="1">
                                    <a:solidFill>
                                      <a:schemeClr val="tx1"/>
                                    </a:solidFill>
                                    <a:effectLst/>
                                    <a:latin typeface="Cambria Math" panose="02040503050406030204" pitchFamily="18" charset="0"/>
                                    <a:ea typeface="+mn-ea"/>
                                    <a:cs typeface="+mn-cs"/>
                                  </a:rPr>
                                </m:ctrlPr>
                              </m:fPr>
                              <m:num>
                                <m:r>
                                  <a:rPr lang="es-ES" sz="1100" b="0" i="1">
                                    <a:solidFill>
                                      <a:schemeClr val="tx1"/>
                                    </a:solidFill>
                                    <a:effectLst/>
                                    <a:latin typeface="Cambria Math" panose="02040503050406030204" pitchFamily="18" charset="0"/>
                                    <a:ea typeface="+mn-ea"/>
                                    <a:cs typeface="+mn-cs"/>
                                  </a:rPr>
                                  <m:t>𝑖</m:t>
                                </m:r>
                              </m:num>
                              <m:den>
                                <m:r>
                                  <a:rPr lang="es-ES" sz="1100" b="0" i="1">
                                    <a:solidFill>
                                      <a:schemeClr val="tx1"/>
                                    </a:solidFill>
                                    <a:effectLst/>
                                    <a:latin typeface="Cambria Math" panose="02040503050406030204" pitchFamily="18" charset="0"/>
                                    <a:ea typeface="+mn-ea"/>
                                    <a:cs typeface="+mn-cs"/>
                                  </a:rPr>
                                  <m:t>100</m:t>
                                </m:r>
                              </m:den>
                            </m:f>
                          </m:e>
                        </m:d>
                      </m:den>
                    </m:f>
                  </m:oMath>
                </m:oMathPara>
              </a14:m>
              <a:endParaRPr lang="es-CO" sz="1100"/>
            </a:p>
          </xdr:txBody>
        </xdr:sp>
      </mc:Choice>
      <mc:Fallback xmlns="">
        <xdr:sp macro="" textlink="">
          <xdr:nvSpPr>
            <xdr:cNvPr id="48" name="CuadroTexto 47">
              <a:extLst>
                <a:ext uri="{FF2B5EF4-FFF2-40B4-BE49-F238E27FC236}">
                  <a16:creationId xmlns:a16="http://schemas.microsoft.com/office/drawing/2014/main" id="{117248B8-C9CD-46B1-83A5-2C8877BCC927}"/>
                </a:ext>
              </a:extLst>
            </xdr:cNvPr>
            <xdr:cNvSpPr txBox="1"/>
          </xdr:nvSpPr>
          <xdr:spPr>
            <a:xfrm>
              <a:off x="3366052" y="99871695"/>
              <a:ext cx="1783630" cy="635174"/>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rPr>
                <a:t>𝑟=(</a:t>
              </a:r>
              <a:r>
                <a:rPr lang="es-ES" sz="1100" b="0" i="0">
                  <a:solidFill>
                    <a:schemeClr val="tx1"/>
                  </a:solidFill>
                  <a:effectLst/>
                  <a:latin typeface="Cambria Math" panose="02040503050406030204" pitchFamily="18" charset="0"/>
                  <a:ea typeface="+mn-ea"/>
                  <a:cs typeface="+mn-cs"/>
                </a:rPr>
                <a:t>(1+𝑎/100)^</a:t>
              </a:r>
              <a:r>
                <a:rPr lang="es-ES" sz="1100" b="0" i="0">
                  <a:latin typeface="Cambria Math" panose="02040503050406030204" pitchFamily="18" charset="0"/>
                </a:rPr>
                <a:t>2∗</a:t>
              </a:r>
              <a:r>
                <a:rPr lang="es-ES" sz="1100" b="0" i="0">
                  <a:solidFill>
                    <a:schemeClr val="tx1"/>
                  </a:solidFill>
                  <a:effectLst/>
                  <a:latin typeface="Cambria Math" panose="02040503050406030204" pitchFamily="18" charset="0"/>
                  <a:ea typeface="+mn-ea"/>
                  <a:cs typeface="+mn-cs"/>
                </a:rPr>
                <a:t>(1+𝑏/100)^2)/((1+𝑖/100) )</a:t>
              </a:r>
              <a:endParaRPr lang="es-CO" sz="1100"/>
            </a:p>
          </xdr:txBody>
        </xdr:sp>
      </mc:Fallback>
    </mc:AlternateContent>
    <xdr:clientData/>
  </xdr:oneCellAnchor>
  <xdr:oneCellAnchor>
    <xdr:from>
      <xdr:col>5</xdr:col>
      <xdr:colOff>219075</xdr:colOff>
      <xdr:row>332</xdr:row>
      <xdr:rowOff>135834</xdr:rowOff>
    </xdr:from>
    <xdr:ext cx="3688655" cy="479427"/>
    <mc:AlternateContent xmlns:mc="http://schemas.openxmlformats.org/markup-compatibility/2006" xmlns:a14="http://schemas.microsoft.com/office/drawing/2010/main">
      <mc:Choice Requires="a14">
        <xdr:sp macro="" textlink="">
          <xdr:nvSpPr>
            <xdr:cNvPr id="49" name="CuadroTexto 48">
              <a:extLst>
                <a:ext uri="{FF2B5EF4-FFF2-40B4-BE49-F238E27FC236}">
                  <a16:creationId xmlns:a16="http://schemas.microsoft.com/office/drawing/2014/main" id="{00000000-0008-0000-0100-000031000000}"/>
                </a:ext>
              </a:extLst>
            </xdr:cNvPr>
            <xdr:cNvSpPr txBox="1"/>
          </xdr:nvSpPr>
          <xdr:spPr>
            <a:xfrm>
              <a:off x="1457325" y="63848559"/>
              <a:ext cx="3688655" cy="479427"/>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𝑉</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𝑘</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𝐿</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𝐼</m:t>
                    </m:r>
                    <m:r>
                      <a:rPr lang="es-ES" sz="1400" b="0" i="1">
                        <a:solidFill>
                          <a:schemeClr val="tx1"/>
                        </a:solidFill>
                        <a:effectLst/>
                        <a:latin typeface="Cambria Math" panose="02040503050406030204" pitchFamily="18" charset="0"/>
                        <a:ea typeface="+mn-ea"/>
                        <a:cs typeface="+mn-cs"/>
                      </a:rPr>
                      <m:t>∗</m:t>
                    </m:r>
                    <m:sSub>
                      <m:sSubPr>
                        <m:ctrlPr>
                          <a:rPr lang="es-ES" sz="1400" b="0" i="1">
                            <a:solidFill>
                              <a:schemeClr val="tx1"/>
                            </a:solidFill>
                            <a:effectLst/>
                            <a:latin typeface="Cambria Math" panose="02040503050406030204" pitchFamily="18" charset="0"/>
                            <a:ea typeface="+mn-ea"/>
                            <a:cs typeface="+mn-cs"/>
                          </a:rPr>
                        </m:ctrlPr>
                      </m:sSubPr>
                      <m:e>
                        <m:r>
                          <a:rPr lang="es-ES" sz="1400" b="0" i="1">
                            <a:solidFill>
                              <a:schemeClr val="tx1"/>
                            </a:solidFill>
                            <a:effectLst/>
                            <a:latin typeface="Cambria Math" panose="02040503050406030204" pitchFamily="18" charset="0"/>
                            <a:ea typeface="+mn-ea"/>
                            <a:cs typeface="+mn-cs"/>
                          </a:rPr>
                          <m:t>𝑍</m:t>
                        </m:r>
                      </m:e>
                      <m:sub>
                        <m:r>
                          <a:rPr lang="es-ES" sz="1400" b="0" i="1">
                            <a:solidFill>
                              <a:schemeClr val="tx1"/>
                            </a:solidFill>
                            <a:effectLst/>
                            <a:latin typeface="Cambria Math" panose="02040503050406030204" pitchFamily="18" charset="0"/>
                            <a:ea typeface="+mn-ea"/>
                            <a:cs typeface="+mn-cs"/>
                          </a:rPr>
                          <m:t>𝐶</m:t>
                        </m:r>
                      </m:sub>
                    </m:sSub>
                    <m:r>
                      <a:rPr lang="es-ES" sz="1400" b="0" i="1">
                        <a:solidFill>
                          <a:schemeClr val="tx1"/>
                        </a:solidFill>
                        <a:effectLst/>
                        <a:latin typeface="Cambria Math" panose="02040503050406030204" pitchFamily="18" charset="0"/>
                        <a:ea typeface="+mn-ea"/>
                        <a:cs typeface="+mn-cs"/>
                      </a:rPr>
                      <m:t>  </m:t>
                    </m:r>
                    <m:d>
                      <m:dPr>
                        <m:begChr m:val="["/>
                        <m:endChr m:val="]"/>
                        <m:ctrlPr>
                          <a:rPr lang="es-ES" sz="1400" b="0" i="1">
                            <a:solidFill>
                              <a:schemeClr val="tx1"/>
                            </a:solidFill>
                            <a:effectLst/>
                            <a:latin typeface="Cambria Math" panose="02040503050406030204" pitchFamily="18" charset="0"/>
                            <a:ea typeface="+mn-ea"/>
                            <a:cs typeface="+mn-cs"/>
                          </a:rPr>
                        </m:ctrlPr>
                      </m:dPr>
                      <m:e>
                        <m:r>
                          <a:rPr lang="es-ES" sz="1400" b="0" i="1">
                            <a:solidFill>
                              <a:schemeClr val="tx1"/>
                            </a:solidFill>
                            <a:effectLst/>
                            <a:latin typeface="Cambria Math" panose="02040503050406030204" pitchFamily="18" charset="0"/>
                            <a:ea typeface="+mn-ea"/>
                            <a:cs typeface="+mn-cs"/>
                          </a:rPr>
                          <m:t>𝑚</m:t>
                        </m:r>
                      </m:e>
                    </m:d>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𝐴</m:t>
                    </m:r>
                    <m:r>
                      <a:rPr lang="es-ES" sz="1400" b="0" i="1">
                        <a:solidFill>
                          <a:schemeClr val="tx1"/>
                        </a:solidFill>
                        <a:effectLst/>
                        <a:latin typeface="Cambria Math" panose="02040503050406030204" pitchFamily="18" charset="0"/>
                        <a:ea typeface="+mn-ea"/>
                        <a:cs typeface="+mn-cs"/>
                      </a:rPr>
                      <m:t>]∗</m:t>
                    </m:r>
                    <m:d>
                      <m:dPr>
                        <m:begChr m:val="["/>
                        <m:endChr m:val="]"/>
                        <m:ctrlPr>
                          <a:rPr lang="es-ES" sz="1400" b="0" i="1">
                            <a:solidFill>
                              <a:schemeClr val="tx1"/>
                            </a:solidFill>
                            <a:effectLst/>
                            <a:latin typeface="Cambria Math" panose="02040503050406030204" pitchFamily="18" charset="0"/>
                            <a:ea typeface="+mn-ea"/>
                            <a:cs typeface="+mn-cs"/>
                          </a:rPr>
                        </m:ctrlPr>
                      </m:dPr>
                      <m:e>
                        <m:f>
                          <m:fPr>
                            <m:ctrlPr>
                              <a:rPr lang="es-ES" sz="1400" b="0" i="1">
                                <a:solidFill>
                                  <a:schemeClr val="tx1"/>
                                </a:solidFill>
                                <a:effectLst/>
                                <a:latin typeface="Cambria Math" panose="02040503050406030204" pitchFamily="18" charset="0"/>
                                <a:ea typeface="+mn-ea"/>
                                <a:cs typeface="+mn-cs"/>
                              </a:rPr>
                            </m:ctrlPr>
                          </m:fPr>
                          <m:num>
                            <m:r>
                              <a:rPr lang="el-GR" sz="1400" b="0" i="1">
                                <a:solidFill>
                                  <a:schemeClr val="tx1"/>
                                </a:solidFill>
                                <a:effectLst/>
                                <a:latin typeface="Cambria Math" panose="02040503050406030204" pitchFamily="18" charset="0"/>
                                <a:ea typeface="+mn-ea"/>
                                <a:cs typeface="+mn-cs"/>
                              </a:rPr>
                              <m:t>Ω</m:t>
                            </m:r>
                          </m:num>
                          <m:den>
                            <m:r>
                              <a:rPr lang="es-ES" sz="1400" b="0" i="1">
                                <a:solidFill>
                                  <a:schemeClr val="tx1"/>
                                </a:solidFill>
                                <a:effectLst/>
                                <a:latin typeface="Cambria Math" panose="02040503050406030204" pitchFamily="18" charset="0"/>
                                <a:ea typeface="+mn-ea"/>
                                <a:cs typeface="+mn-cs"/>
                              </a:rPr>
                              <m:t>𝑘𝑚</m:t>
                            </m:r>
                          </m:den>
                        </m:f>
                      </m:e>
                    </m:d>
                    <m:r>
                      <a:rPr lang="es-ES" sz="1400" b="0" i="1">
                        <a:solidFill>
                          <a:schemeClr val="tx1"/>
                        </a:solidFill>
                        <a:effectLst/>
                        <a:latin typeface="Cambria Math" panose="02040503050406030204" pitchFamily="18" charset="0"/>
                        <a:ea typeface="+mn-ea"/>
                        <a:cs typeface="+mn-cs"/>
                      </a:rPr>
                      <m:t>∗ </m:t>
                    </m:r>
                    <m:d>
                      <m:dPr>
                        <m:begChr m:val="["/>
                        <m:endChr m:val="]"/>
                        <m:ctrlPr>
                          <a:rPr lang="es-ES" sz="1400" b="0" i="1">
                            <a:solidFill>
                              <a:schemeClr val="tx1"/>
                            </a:solidFill>
                            <a:effectLst/>
                            <a:latin typeface="Cambria Math" panose="02040503050406030204" pitchFamily="18" charset="0"/>
                            <a:ea typeface="+mn-ea"/>
                            <a:cs typeface="+mn-cs"/>
                          </a:rPr>
                        </m:ctrlPr>
                      </m:dPr>
                      <m:e>
                        <m:f>
                          <m:fPr>
                            <m:ctrlPr>
                              <a:rPr lang="es-ES" sz="1400" b="0" i="1">
                                <a:solidFill>
                                  <a:schemeClr val="tx1"/>
                                </a:solidFill>
                                <a:effectLst/>
                                <a:latin typeface="Cambria Math" panose="02040503050406030204" pitchFamily="18" charset="0"/>
                                <a:ea typeface="+mn-ea"/>
                                <a:cs typeface="+mn-cs"/>
                              </a:rPr>
                            </m:ctrlPr>
                          </m:fPr>
                          <m:num>
                            <m:r>
                              <a:rPr lang="es-ES" sz="1400" b="0" i="1">
                                <a:solidFill>
                                  <a:schemeClr val="tx1"/>
                                </a:solidFill>
                                <a:effectLst/>
                                <a:latin typeface="Cambria Math" panose="02040503050406030204" pitchFamily="18" charset="0"/>
                                <a:ea typeface="+mn-ea"/>
                                <a:cs typeface="+mn-cs"/>
                              </a:rPr>
                              <m:t>1 </m:t>
                            </m:r>
                            <m:r>
                              <a:rPr lang="es-ES" sz="1400" b="0" i="1">
                                <a:solidFill>
                                  <a:schemeClr val="tx1"/>
                                </a:solidFill>
                                <a:effectLst/>
                                <a:latin typeface="Cambria Math" panose="02040503050406030204" pitchFamily="18" charset="0"/>
                                <a:ea typeface="+mn-ea"/>
                                <a:cs typeface="+mn-cs"/>
                              </a:rPr>
                              <m:t>𝑘𝑚</m:t>
                            </m:r>
                          </m:num>
                          <m:den>
                            <m:r>
                              <a:rPr lang="es-ES" sz="1400" b="0" i="1">
                                <a:solidFill>
                                  <a:schemeClr val="tx1"/>
                                </a:solidFill>
                                <a:effectLst/>
                                <a:latin typeface="Cambria Math" panose="02040503050406030204" pitchFamily="18" charset="0"/>
                                <a:ea typeface="+mn-ea"/>
                                <a:cs typeface="+mn-cs"/>
                              </a:rPr>
                              <m:t>1000 </m:t>
                            </m:r>
                            <m:r>
                              <a:rPr lang="es-ES" sz="1400" b="0" i="1">
                                <a:solidFill>
                                  <a:schemeClr val="tx1"/>
                                </a:solidFill>
                                <a:effectLst/>
                                <a:latin typeface="Cambria Math" panose="02040503050406030204" pitchFamily="18" charset="0"/>
                                <a:ea typeface="+mn-ea"/>
                                <a:cs typeface="+mn-cs"/>
                              </a:rPr>
                              <m:t>𝑚</m:t>
                            </m:r>
                          </m:den>
                        </m:f>
                      </m:e>
                    </m:d>
                  </m:oMath>
                </m:oMathPara>
              </a14:m>
              <a:endParaRPr lang="es-CO" sz="1400" b="0" i="1">
                <a:solidFill>
                  <a:schemeClr val="tx1"/>
                </a:solidFill>
                <a:effectLst/>
                <a:latin typeface="+mn-lt"/>
                <a:ea typeface="+mn-ea"/>
                <a:cs typeface="+mn-cs"/>
              </a:endParaRPr>
            </a:p>
          </xdr:txBody>
        </xdr:sp>
      </mc:Choice>
      <mc:Fallback xmlns="">
        <xdr:sp macro="" textlink="">
          <xdr:nvSpPr>
            <xdr:cNvPr id="49" name="CuadroTexto 48">
              <a:extLst>
                <a:ext uri="{FF2B5EF4-FFF2-40B4-BE49-F238E27FC236}">
                  <a16:creationId xmlns:a16="http://schemas.microsoft.com/office/drawing/2014/main" id="{42828795-84E5-46FB-AA21-F348E0580066}"/>
                </a:ext>
              </a:extLst>
            </xdr:cNvPr>
            <xdr:cNvSpPr txBox="1"/>
          </xdr:nvSpPr>
          <xdr:spPr>
            <a:xfrm>
              <a:off x="1457325" y="63848559"/>
              <a:ext cx="3688655" cy="479427"/>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solidFill>
                    <a:schemeClr val="tx1"/>
                  </a:solidFill>
                  <a:effectLst/>
                  <a:latin typeface="Cambria Math" panose="02040503050406030204" pitchFamily="18" charset="0"/>
                  <a:ea typeface="+mn-ea"/>
                  <a:cs typeface="+mn-cs"/>
                </a:rPr>
                <a:t>∆𝑉=𝑘∗𝐿∗𝐼∗𝑍_𝐶   [𝑚]∗[𝐴]∗[</a:t>
              </a:r>
              <a:r>
                <a:rPr lang="el-GR" sz="1400" b="0" i="0">
                  <a:solidFill>
                    <a:schemeClr val="tx1"/>
                  </a:solidFill>
                  <a:effectLst/>
                  <a:latin typeface="Cambria Math" panose="02040503050406030204" pitchFamily="18" charset="0"/>
                  <a:ea typeface="+mn-ea"/>
                  <a:cs typeface="+mn-cs"/>
                </a:rPr>
                <a:t>Ω</a:t>
              </a:r>
              <a:r>
                <a:rPr lang="es-ES" sz="1400" b="0" i="0">
                  <a:solidFill>
                    <a:schemeClr val="tx1"/>
                  </a:solidFill>
                  <a:effectLst/>
                  <a:latin typeface="Cambria Math" panose="02040503050406030204" pitchFamily="18" charset="0"/>
                  <a:ea typeface="+mn-ea"/>
                  <a:cs typeface="+mn-cs"/>
                </a:rPr>
                <a:t>/𝑘𝑚]∗ [(1 𝑘𝑚)/(1000 𝑚)]</a:t>
              </a:r>
              <a:endParaRPr lang="es-CO" sz="1400" b="0" i="1">
                <a:solidFill>
                  <a:schemeClr val="tx1"/>
                </a:solidFill>
                <a:effectLst/>
                <a:latin typeface="+mn-lt"/>
                <a:ea typeface="+mn-ea"/>
                <a:cs typeface="+mn-cs"/>
              </a:endParaRPr>
            </a:p>
          </xdr:txBody>
        </xdr:sp>
      </mc:Fallback>
    </mc:AlternateContent>
    <xdr:clientData/>
  </xdr:oneCellAnchor>
  <xdr:oneCellAnchor>
    <xdr:from>
      <xdr:col>10</xdr:col>
      <xdr:colOff>152400</xdr:colOff>
      <xdr:row>335</xdr:row>
      <xdr:rowOff>2484</xdr:rowOff>
    </xdr:from>
    <xdr:ext cx="2143125" cy="403316"/>
    <mc:AlternateContent xmlns:mc="http://schemas.openxmlformats.org/markup-compatibility/2006" xmlns:a14="http://schemas.microsoft.com/office/drawing/2010/main">
      <mc:Choice Requires="a14">
        <xdr:sp macro="" textlink="">
          <xdr:nvSpPr>
            <xdr:cNvPr id="50" name="CuadroTexto 49">
              <a:extLst>
                <a:ext uri="{FF2B5EF4-FFF2-40B4-BE49-F238E27FC236}">
                  <a16:creationId xmlns:a16="http://schemas.microsoft.com/office/drawing/2014/main" id="{00000000-0008-0000-0100-000032000000}"/>
                </a:ext>
              </a:extLst>
            </xdr:cNvPr>
            <xdr:cNvSpPr txBox="1"/>
          </xdr:nvSpPr>
          <xdr:spPr>
            <a:xfrm>
              <a:off x="2628900" y="64496259"/>
              <a:ext cx="2143125" cy="403316"/>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𝑉</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𝑘</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𝐿</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𝐼</m:t>
                    </m:r>
                    <m:r>
                      <a:rPr lang="es-ES" sz="1400" b="0" i="1">
                        <a:solidFill>
                          <a:schemeClr val="tx1"/>
                        </a:solidFill>
                        <a:effectLst/>
                        <a:latin typeface="Cambria Math" panose="02040503050406030204" pitchFamily="18" charset="0"/>
                        <a:ea typeface="+mn-ea"/>
                        <a:cs typeface="+mn-cs"/>
                      </a:rPr>
                      <m:t>∗</m:t>
                    </m:r>
                    <m:f>
                      <m:fPr>
                        <m:ctrlPr>
                          <a:rPr lang="es-ES" sz="1400" b="0" i="1">
                            <a:solidFill>
                              <a:schemeClr val="tx1"/>
                            </a:solidFill>
                            <a:effectLst/>
                            <a:latin typeface="Cambria Math" panose="02040503050406030204" pitchFamily="18" charset="0"/>
                            <a:ea typeface="+mn-ea"/>
                            <a:cs typeface="+mn-cs"/>
                          </a:rPr>
                        </m:ctrlPr>
                      </m:fPr>
                      <m:num>
                        <m:sSub>
                          <m:sSubPr>
                            <m:ctrlPr>
                              <a:rPr lang="es-ES" sz="1400" b="0" i="1">
                                <a:solidFill>
                                  <a:schemeClr val="tx1"/>
                                </a:solidFill>
                                <a:effectLst/>
                                <a:latin typeface="Cambria Math" panose="02040503050406030204" pitchFamily="18" charset="0"/>
                                <a:ea typeface="+mn-ea"/>
                                <a:cs typeface="+mn-cs"/>
                              </a:rPr>
                            </m:ctrlPr>
                          </m:sSubPr>
                          <m:e>
                            <m:r>
                              <a:rPr lang="es-ES" sz="1400" b="0" i="1">
                                <a:solidFill>
                                  <a:schemeClr val="tx1"/>
                                </a:solidFill>
                                <a:effectLst/>
                                <a:latin typeface="Cambria Math" panose="02040503050406030204" pitchFamily="18" charset="0"/>
                                <a:ea typeface="+mn-ea"/>
                                <a:cs typeface="+mn-cs"/>
                              </a:rPr>
                              <m:t>𝑍</m:t>
                            </m:r>
                          </m:e>
                          <m:sub>
                            <m:r>
                              <a:rPr lang="es-ES" sz="1400" b="0" i="1">
                                <a:solidFill>
                                  <a:schemeClr val="tx1"/>
                                </a:solidFill>
                                <a:effectLst/>
                                <a:latin typeface="Cambria Math" panose="02040503050406030204" pitchFamily="18" charset="0"/>
                                <a:ea typeface="+mn-ea"/>
                                <a:cs typeface="+mn-cs"/>
                              </a:rPr>
                              <m:t>𝐶</m:t>
                            </m:r>
                          </m:sub>
                        </m:sSub>
                      </m:num>
                      <m:den>
                        <m:r>
                          <a:rPr lang="es-ES" sz="1400" b="0" i="1">
                            <a:solidFill>
                              <a:schemeClr val="tx1"/>
                            </a:solidFill>
                            <a:effectLst/>
                            <a:latin typeface="Cambria Math" panose="02040503050406030204" pitchFamily="18" charset="0"/>
                            <a:ea typeface="+mn-ea"/>
                            <a:cs typeface="+mn-cs"/>
                          </a:rPr>
                          <m:t>1000</m:t>
                        </m:r>
                      </m:den>
                    </m:f>
                    <m:r>
                      <a:rPr lang="es-ES" sz="1400" b="0" i="1">
                        <a:solidFill>
                          <a:schemeClr val="tx1"/>
                        </a:solidFill>
                        <a:effectLst/>
                        <a:latin typeface="Cambria Math" panose="02040503050406030204" pitchFamily="18" charset="0"/>
                        <a:ea typeface="+mn-ea"/>
                        <a:cs typeface="+mn-cs"/>
                      </a:rPr>
                      <m:t> </m:t>
                    </m:r>
                    <m:d>
                      <m:dPr>
                        <m:begChr m:val="["/>
                        <m:endChr m:val="]"/>
                        <m:ctrlPr>
                          <a:rPr lang="es-ES" sz="1400" b="0" i="1">
                            <a:solidFill>
                              <a:schemeClr val="tx1"/>
                            </a:solidFill>
                            <a:effectLst/>
                            <a:latin typeface="Cambria Math" panose="02040503050406030204" pitchFamily="18" charset="0"/>
                            <a:ea typeface="+mn-ea"/>
                            <a:cs typeface="+mn-cs"/>
                          </a:rPr>
                        </m:ctrlPr>
                      </m:dPr>
                      <m:e>
                        <m:r>
                          <a:rPr lang="es-ES" sz="1400" b="0" i="1">
                            <a:solidFill>
                              <a:schemeClr val="tx1"/>
                            </a:solidFill>
                            <a:effectLst/>
                            <a:latin typeface="Cambria Math" panose="02040503050406030204" pitchFamily="18" charset="0"/>
                            <a:ea typeface="+mn-ea"/>
                            <a:cs typeface="+mn-cs"/>
                          </a:rPr>
                          <m:t>𝑉</m:t>
                        </m:r>
                      </m:e>
                    </m:d>
                  </m:oMath>
                </m:oMathPara>
              </a14:m>
              <a:endParaRPr lang="es-CO" sz="1400" b="0" i="1">
                <a:solidFill>
                  <a:schemeClr val="tx1"/>
                </a:solidFill>
                <a:effectLst/>
                <a:latin typeface="+mn-lt"/>
                <a:ea typeface="+mn-ea"/>
                <a:cs typeface="+mn-cs"/>
              </a:endParaRPr>
            </a:p>
          </xdr:txBody>
        </xdr:sp>
      </mc:Choice>
      <mc:Fallback xmlns="">
        <xdr:sp macro="" textlink="">
          <xdr:nvSpPr>
            <xdr:cNvPr id="50" name="CuadroTexto 49">
              <a:extLst>
                <a:ext uri="{FF2B5EF4-FFF2-40B4-BE49-F238E27FC236}">
                  <a16:creationId xmlns:a16="http://schemas.microsoft.com/office/drawing/2014/main" id="{29F2203A-24B2-421A-BBB7-F8BD09A5A821}"/>
                </a:ext>
              </a:extLst>
            </xdr:cNvPr>
            <xdr:cNvSpPr txBox="1"/>
          </xdr:nvSpPr>
          <xdr:spPr>
            <a:xfrm>
              <a:off x="2628900" y="64496259"/>
              <a:ext cx="2143125" cy="403316"/>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solidFill>
                    <a:schemeClr val="tx1"/>
                  </a:solidFill>
                  <a:effectLst/>
                  <a:latin typeface="Cambria Math" panose="02040503050406030204" pitchFamily="18" charset="0"/>
                  <a:ea typeface="+mn-ea"/>
                  <a:cs typeface="+mn-cs"/>
                </a:rPr>
                <a:t>∆𝑉=𝑘∗𝐿∗𝐼∗𝑍_𝐶/1000  [𝑉]</a:t>
              </a:r>
              <a:endParaRPr lang="es-CO" sz="1400" b="0" i="1">
                <a:solidFill>
                  <a:schemeClr val="tx1"/>
                </a:solidFill>
                <a:effectLst/>
                <a:latin typeface="+mn-lt"/>
                <a:ea typeface="+mn-ea"/>
                <a:cs typeface="+mn-cs"/>
              </a:endParaRPr>
            </a:p>
          </xdr:txBody>
        </xdr:sp>
      </mc:Fallback>
    </mc:AlternateContent>
    <xdr:clientData/>
  </xdr:oneCellAnchor>
  <xdr:oneCellAnchor>
    <xdr:from>
      <xdr:col>12</xdr:col>
      <xdr:colOff>200026</xdr:colOff>
      <xdr:row>355</xdr:row>
      <xdr:rowOff>20705</xdr:rowOff>
    </xdr:from>
    <xdr:ext cx="1781174" cy="439929"/>
    <mc:AlternateContent xmlns:mc="http://schemas.openxmlformats.org/markup-compatibility/2006" xmlns:a14="http://schemas.microsoft.com/office/drawing/2010/main">
      <mc:Choice Requires="a14">
        <xdr:sp macro="" textlink="">
          <xdr:nvSpPr>
            <xdr:cNvPr id="51" name="CuadroTexto 50">
              <a:extLst>
                <a:ext uri="{FF2B5EF4-FFF2-40B4-BE49-F238E27FC236}">
                  <a16:creationId xmlns:a16="http://schemas.microsoft.com/office/drawing/2014/main" id="{00000000-0008-0000-0100-000033000000}"/>
                </a:ext>
              </a:extLst>
            </xdr:cNvPr>
            <xdr:cNvSpPr txBox="1"/>
          </xdr:nvSpPr>
          <xdr:spPr>
            <a:xfrm>
              <a:off x="3171826" y="68419730"/>
              <a:ext cx="1781174" cy="439929"/>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latin typeface="Cambria Math" panose="02040503050406030204" pitchFamily="18" charset="0"/>
                        <a:ea typeface="Cambria Math" panose="02040503050406030204" pitchFamily="18" charset="0"/>
                      </a:rPr>
                      <m:t>%</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𝑉</m:t>
                    </m:r>
                    <m:r>
                      <a:rPr lang="es-ES" sz="1400" b="0" i="1">
                        <a:solidFill>
                          <a:schemeClr val="tx1"/>
                        </a:solidFill>
                        <a:effectLst/>
                        <a:latin typeface="Cambria Math" panose="02040503050406030204" pitchFamily="18" charset="0"/>
                        <a:ea typeface="+mn-ea"/>
                        <a:cs typeface="+mn-cs"/>
                      </a:rPr>
                      <m:t>=</m:t>
                    </m:r>
                    <m:f>
                      <m:fPr>
                        <m:ctrlPr>
                          <a:rPr lang="es-ES" sz="1400" b="0" i="1">
                            <a:solidFill>
                              <a:schemeClr val="tx1"/>
                            </a:solidFill>
                            <a:effectLst/>
                            <a:latin typeface="Cambria Math" panose="02040503050406030204" pitchFamily="18" charset="0"/>
                            <a:ea typeface="+mn-ea"/>
                            <a:cs typeface="+mn-cs"/>
                          </a:rPr>
                        </m:ctrlPr>
                      </m:fPr>
                      <m:num>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𝑉</m:t>
                        </m:r>
                      </m:num>
                      <m:den>
                        <m:sSub>
                          <m:sSubPr>
                            <m:ctrlPr>
                              <a:rPr lang="es-ES" sz="1400" b="0" i="1">
                                <a:solidFill>
                                  <a:schemeClr val="tx1"/>
                                </a:solidFill>
                                <a:effectLst/>
                                <a:latin typeface="Cambria Math" panose="02040503050406030204" pitchFamily="18" charset="0"/>
                                <a:ea typeface="+mn-ea"/>
                                <a:cs typeface="+mn-cs"/>
                              </a:rPr>
                            </m:ctrlPr>
                          </m:sSubPr>
                          <m:e>
                            <m:r>
                              <a:rPr lang="es-ES" sz="1400" b="0" i="1">
                                <a:solidFill>
                                  <a:schemeClr val="tx1"/>
                                </a:solidFill>
                                <a:effectLst/>
                                <a:latin typeface="Cambria Math" panose="02040503050406030204" pitchFamily="18" charset="0"/>
                                <a:ea typeface="+mn-ea"/>
                                <a:cs typeface="+mn-cs"/>
                              </a:rPr>
                              <m:t>𝑉</m:t>
                            </m:r>
                          </m:e>
                          <m:sub>
                            <m:r>
                              <a:rPr lang="es-ES" sz="1400" b="0" i="1">
                                <a:solidFill>
                                  <a:schemeClr val="tx1"/>
                                </a:solidFill>
                                <a:effectLst/>
                                <a:latin typeface="Cambria Math" panose="02040503050406030204" pitchFamily="18" charset="0"/>
                                <a:ea typeface="+mn-ea"/>
                                <a:cs typeface="+mn-cs"/>
                              </a:rPr>
                              <m:t>𝑛</m:t>
                            </m:r>
                          </m:sub>
                        </m:sSub>
                      </m:den>
                    </m:f>
                    <m:r>
                      <a:rPr lang="es-ES" sz="1400" b="0" i="1">
                        <a:solidFill>
                          <a:schemeClr val="tx1"/>
                        </a:solidFill>
                        <a:effectLst/>
                        <a:latin typeface="Cambria Math" panose="02040503050406030204" pitchFamily="18" charset="0"/>
                        <a:ea typeface="+mn-ea"/>
                        <a:cs typeface="+mn-cs"/>
                      </a:rPr>
                      <m:t>∗100</m:t>
                    </m:r>
                  </m:oMath>
                </m:oMathPara>
              </a14:m>
              <a:endParaRPr lang="es-CO" sz="1400"/>
            </a:p>
          </xdr:txBody>
        </xdr:sp>
      </mc:Choice>
      <mc:Fallback xmlns="">
        <xdr:sp macro="" textlink="">
          <xdr:nvSpPr>
            <xdr:cNvPr id="51" name="CuadroTexto 50">
              <a:extLst>
                <a:ext uri="{FF2B5EF4-FFF2-40B4-BE49-F238E27FC236}">
                  <a16:creationId xmlns:a16="http://schemas.microsoft.com/office/drawing/2014/main" id="{9B61C4BE-CB6F-4196-9E4A-1AB077C36EBE}"/>
                </a:ext>
              </a:extLst>
            </xdr:cNvPr>
            <xdr:cNvSpPr txBox="1"/>
          </xdr:nvSpPr>
          <xdr:spPr>
            <a:xfrm>
              <a:off x="3171826" y="68419730"/>
              <a:ext cx="1781174" cy="439929"/>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a:t>
              </a:r>
              <a:r>
                <a:rPr lang="es-ES" sz="1400" b="0" i="0">
                  <a:solidFill>
                    <a:schemeClr val="tx1"/>
                  </a:solidFill>
                  <a:effectLst/>
                  <a:latin typeface="Cambria Math" panose="02040503050406030204" pitchFamily="18" charset="0"/>
                  <a:ea typeface="+mn-ea"/>
                  <a:cs typeface="+mn-cs"/>
                </a:rPr>
                <a:t>∆𝑉=∆𝑉/𝑉_𝑛 ∗100</a:t>
              </a:r>
              <a:endParaRPr lang="es-CO" sz="1400"/>
            </a:p>
          </xdr:txBody>
        </xdr:sp>
      </mc:Fallback>
    </mc:AlternateContent>
    <xdr:clientData/>
  </xdr:oneCellAnchor>
  <xdr:oneCellAnchor>
    <xdr:from>
      <xdr:col>7</xdr:col>
      <xdr:colOff>76200</xdr:colOff>
      <xdr:row>359</xdr:row>
      <xdr:rowOff>20705</xdr:rowOff>
    </xdr:from>
    <xdr:ext cx="3438525" cy="442493"/>
    <mc:AlternateContent xmlns:mc="http://schemas.openxmlformats.org/markup-compatibility/2006" xmlns:a14="http://schemas.microsoft.com/office/drawing/2010/main">
      <mc:Choice Requires="a14">
        <xdr:sp macro="" textlink="">
          <xdr:nvSpPr>
            <xdr:cNvPr id="52" name="CuadroTexto 51">
              <a:extLst>
                <a:ext uri="{FF2B5EF4-FFF2-40B4-BE49-F238E27FC236}">
                  <a16:creationId xmlns:a16="http://schemas.microsoft.com/office/drawing/2014/main" id="{00000000-0008-0000-0100-000034000000}"/>
                </a:ext>
              </a:extLst>
            </xdr:cNvPr>
            <xdr:cNvSpPr txBox="1"/>
          </xdr:nvSpPr>
          <xdr:spPr>
            <a:xfrm>
              <a:off x="1809750" y="69524630"/>
              <a:ext cx="3438525" cy="442493"/>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0" i="1">
                        <a:latin typeface="Cambria Math" panose="02040503050406030204" pitchFamily="18" charset="0"/>
                        <a:ea typeface="Cambria Math" panose="02040503050406030204" pitchFamily="18" charset="0"/>
                      </a:rPr>
                      <m:t>%</m:t>
                    </m:r>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𝑉</m:t>
                    </m:r>
                    <m:r>
                      <a:rPr lang="es-ES" sz="1400" b="0" i="1">
                        <a:solidFill>
                          <a:schemeClr val="tx1"/>
                        </a:solidFill>
                        <a:effectLst/>
                        <a:latin typeface="Cambria Math" panose="02040503050406030204" pitchFamily="18" charset="0"/>
                        <a:ea typeface="+mn-ea"/>
                        <a:cs typeface="+mn-cs"/>
                      </a:rPr>
                      <m:t>=</m:t>
                    </m:r>
                    <m:f>
                      <m:fPr>
                        <m:ctrlPr>
                          <a:rPr lang="es-ES" sz="1400" b="0" i="1">
                            <a:solidFill>
                              <a:schemeClr val="tx1"/>
                            </a:solidFill>
                            <a:effectLst/>
                            <a:latin typeface="Cambria Math" panose="02040503050406030204" pitchFamily="18" charset="0"/>
                            <a:ea typeface="+mn-ea"/>
                            <a:cs typeface="+mn-cs"/>
                          </a:rPr>
                        </m:ctrlPr>
                      </m:fPr>
                      <m:num>
                        <m:r>
                          <a:rPr lang="es-ES" sz="1400" b="0" i="1">
                            <a:solidFill>
                              <a:schemeClr val="tx1"/>
                            </a:solidFill>
                            <a:effectLst/>
                            <a:latin typeface="Cambria Math" panose="02040503050406030204" pitchFamily="18" charset="0"/>
                            <a:ea typeface="+mn-ea"/>
                            <a:cs typeface="+mn-cs"/>
                          </a:rPr>
                          <m:t>∆</m:t>
                        </m:r>
                        <m:r>
                          <a:rPr lang="es-ES" sz="1400" b="0" i="1">
                            <a:solidFill>
                              <a:schemeClr val="tx1"/>
                            </a:solidFill>
                            <a:effectLst/>
                            <a:latin typeface="Cambria Math" panose="02040503050406030204" pitchFamily="18" charset="0"/>
                            <a:ea typeface="+mn-ea"/>
                            <a:cs typeface="+mn-cs"/>
                          </a:rPr>
                          <m:t>𝑉</m:t>
                        </m:r>
                      </m:num>
                      <m:den>
                        <m:sSub>
                          <m:sSubPr>
                            <m:ctrlPr>
                              <a:rPr lang="es-ES" sz="1400" b="0" i="1">
                                <a:solidFill>
                                  <a:schemeClr val="tx1"/>
                                </a:solidFill>
                                <a:effectLst/>
                                <a:latin typeface="Cambria Math" panose="02040503050406030204" pitchFamily="18" charset="0"/>
                                <a:ea typeface="+mn-ea"/>
                                <a:cs typeface="+mn-cs"/>
                              </a:rPr>
                            </m:ctrlPr>
                          </m:sSubPr>
                          <m:e>
                            <m:r>
                              <a:rPr lang="es-ES" sz="1400" b="0" i="1">
                                <a:solidFill>
                                  <a:schemeClr val="tx1"/>
                                </a:solidFill>
                                <a:effectLst/>
                                <a:latin typeface="Cambria Math" panose="02040503050406030204" pitchFamily="18" charset="0"/>
                                <a:ea typeface="+mn-ea"/>
                                <a:cs typeface="+mn-cs"/>
                              </a:rPr>
                              <m:t>𝑉</m:t>
                            </m:r>
                          </m:e>
                          <m:sub>
                            <m:r>
                              <a:rPr lang="es-ES" sz="1400" b="0" i="1">
                                <a:solidFill>
                                  <a:schemeClr val="tx1"/>
                                </a:solidFill>
                                <a:effectLst/>
                                <a:latin typeface="Cambria Math" panose="02040503050406030204" pitchFamily="18" charset="0"/>
                                <a:ea typeface="+mn-ea"/>
                                <a:cs typeface="+mn-cs"/>
                              </a:rPr>
                              <m:t>𝑛</m:t>
                            </m:r>
                          </m:sub>
                        </m:sSub>
                        <m:r>
                          <a:rPr lang="es-ES" sz="1400" b="0" i="1">
                            <a:solidFill>
                              <a:schemeClr val="tx1"/>
                            </a:solidFill>
                            <a:effectLst/>
                            <a:latin typeface="Cambria Math" panose="02040503050406030204" pitchFamily="18" charset="0"/>
                            <a:ea typeface="+mn-ea"/>
                            <a:cs typeface="+mn-cs"/>
                          </a:rPr>
                          <m:t>∗# </m:t>
                        </m:r>
                        <m:r>
                          <a:rPr lang="es-ES" sz="1400" b="0" i="1">
                            <a:solidFill>
                              <a:schemeClr val="tx1"/>
                            </a:solidFill>
                            <a:effectLst/>
                            <a:latin typeface="Cambria Math" panose="02040503050406030204" pitchFamily="18" charset="0"/>
                            <a:ea typeface="+mn-ea"/>
                            <a:cs typeface="+mn-cs"/>
                          </a:rPr>
                          <m:t>𝐶𝑜𝑛𝑑𝑢𝑐𝑡𝑜𝑟</m:t>
                        </m:r>
                        <m:r>
                          <a:rPr lang="es-ES" sz="1400" b="0" i="1">
                            <a:solidFill>
                              <a:schemeClr val="tx1"/>
                            </a:solidFill>
                            <a:effectLst/>
                            <a:latin typeface="Cambria Math" panose="02040503050406030204" pitchFamily="18" charset="0"/>
                            <a:ea typeface="+mn-ea"/>
                            <a:cs typeface="+mn-cs"/>
                          </a:rPr>
                          <m:t> </m:t>
                        </m:r>
                        <m:r>
                          <a:rPr lang="es-ES" sz="1400" b="0" i="1">
                            <a:solidFill>
                              <a:schemeClr val="tx1"/>
                            </a:solidFill>
                            <a:effectLst/>
                            <a:latin typeface="Cambria Math" panose="02040503050406030204" pitchFamily="18" charset="0"/>
                            <a:ea typeface="+mn-ea"/>
                            <a:cs typeface="+mn-cs"/>
                          </a:rPr>
                          <m:t>𝑝𝑜𝑟</m:t>
                        </m:r>
                        <m:r>
                          <a:rPr lang="es-ES" sz="1400" b="0" i="1">
                            <a:solidFill>
                              <a:schemeClr val="tx1"/>
                            </a:solidFill>
                            <a:effectLst/>
                            <a:latin typeface="Cambria Math" panose="02040503050406030204" pitchFamily="18" charset="0"/>
                            <a:ea typeface="+mn-ea"/>
                            <a:cs typeface="+mn-cs"/>
                          </a:rPr>
                          <m:t> </m:t>
                        </m:r>
                        <m:r>
                          <a:rPr lang="es-ES" sz="1400" b="0" i="1">
                            <a:solidFill>
                              <a:schemeClr val="tx1"/>
                            </a:solidFill>
                            <a:effectLst/>
                            <a:latin typeface="Cambria Math" panose="02040503050406030204" pitchFamily="18" charset="0"/>
                            <a:ea typeface="+mn-ea"/>
                            <a:cs typeface="+mn-cs"/>
                          </a:rPr>
                          <m:t>𝑓𝑎𝑠𝑒</m:t>
                        </m:r>
                      </m:den>
                    </m:f>
                    <m:r>
                      <a:rPr lang="es-ES" sz="1400" b="0" i="1">
                        <a:solidFill>
                          <a:schemeClr val="tx1"/>
                        </a:solidFill>
                        <a:effectLst/>
                        <a:latin typeface="Cambria Math" panose="02040503050406030204" pitchFamily="18" charset="0"/>
                        <a:ea typeface="+mn-ea"/>
                        <a:cs typeface="+mn-cs"/>
                      </a:rPr>
                      <m:t>∗100</m:t>
                    </m:r>
                  </m:oMath>
                </m:oMathPara>
              </a14:m>
              <a:endParaRPr lang="es-CO" sz="1400"/>
            </a:p>
          </xdr:txBody>
        </xdr:sp>
      </mc:Choice>
      <mc:Fallback xmlns="">
        <xdr:sp macro="" textlink="">
          <xdr:nvSpPr>
            <xdr:cNvPr id="52" name="CuadroTexto 51">
              <a:extLst>
                <a:ext uri="{FF2B5EF4-FFF2-40B4-BE49-F238E27FC236}">
                  <a16:creationId xmlns:a16="http://schemas.microsoft.com/office/drawing/2014/main" id="{CB1042BF-EA2E-4E0F-B2B1-819A405061E0}"/>
                </a:ext>
              </a:extLst>
            </xdr:cNvPr>
            <xdr:cNvSpPr txBox="1"/>
          </xdr:nvSpPr>
          <xdr:spPr>
            <a:xfrm>
              <a:off x="1809750" y="69524630"/>
              <a:ext cx="3438525" cy="442493"/>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0" i="0">
                  <a:latin typeface="Cambria Math" panose="02040503050406030204" pitchFamily="18" charset="0"/>
                  <a:ea typeface="Cambria Math" panose="02040503050406030204" pitchFamily="18" charset="0"/>
                </a:rPr>
                <a:t>%</a:t>
              </a:r>
              <a:r>
                <a:rPr lang="es-ES" sz="1400" b="0" i="0">
                  <a:solidFill>
                    <a:schemeClr val="tx1"/>
                  </a:solidFill>
                  <a:effectLst/>
                  <a:latin typeface="Cambria Math" panose="02040503050406030204" pitchFamily="18" charset="0"/>
                  <a:ea typeface="+mn-ea"/>
                  <a:cs typeface="+mn-cs"/>
                </a:rPr>
                <a:t>∆𝑉=∆𝑉/(𝑉_𝑛∗# 𝐶𝑜𝑛𝑑𝑢𝑐𝑡𝑜𝑟 𝑝𝑜𝑟 𝑓𝑎𝑠𝑒)∗100</a:t>
              </a:r>
              <a:endParaRPr lang="es-CO" sz="1400"/>
            </a:p>
          </xdr:txBody>
        </xdr:sp>
      </mc:Fallback>
    </mc:AlternateContent>
    <xdr:clientData/>
  </xdr:oneCellAnchor>
  <xdr:oneCellAnchor>
    <xdr:from>
      <xdr:col>13</xdr:col>
      <xdr:colOff>180975</xdr:colOff>
      <xdr:row>546</xdr:row>
      <xdr:rowOff>9525</xdr:rowOff>
    </xdr:from>
    <xdr:ext cx="1789044" cy="175369"/>
    <mc:AlternateContent xmlns:mc="http://schemas.openxmlformats.org/markup-compatibility/2006" xmlns:a14="http://schemas.microsoft.com/office/drawing/2010/main">
      <mc:Choice Requires="a14">
        <xdr:sp macro="" textlink="">
          <xdr:nvSpPr>
            <xdr:cNvPr id="53" name="CuadroTexto 52">
              <a:extLst>
                <a:ext uri="{FF2B5EF4-FFF2-40B4-BE49-F238E27FC236}">
                  <a16:creationId xmlns:a16="http://schemas.microsoft.com/office/drawing/2014/main" id="{00000000-0008-0000-0100-000035000000}"/>
                </a:ext>
              </a:extLst>
            </xdr:cNvPr>
            <xdr:cNvSpPr txBox="1"/>
          </xdr:nvSpPr>
          <xdr:spPr>
            <a:xfrm>
              <a:off x="3400425" y="107946825"/>
              <a:ext cx="1789044" cy="175369"/>
            </a:xfrm>
            <a:prstGeom prst="rect">
              <a:avLst/>
            </a:prstGeom>
            <a:blipFill dpi="0" rotWithShape="1">
              <a:blip xmlns:r="http://schemas.openxmlformats.org/officeDocument/2006/relationships" r:embed="rId1">
                <a:extLst>
                  <a:ext uri="{BEBA8EAE-BF5A-486C-A8C5-ECC9F3942E4B}">
                    <a14:imgProps>
                      <a14:imgLayer r:embed="rId2">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14:m>
                <m:oMathPara xmlns:m="http://schemas.openxmlformats.org/officeDocument/2006/math">
                  <m:oMathParaPr>
                    <m:jc m:val="centerGroup"/>
                  </m:oMathParaPr>
                  <m:oMath xmlns:m="http://schemas.openxmlformats.org/officeDocument/2006/math">
                    <m:r>
                      <a:rPr lang="es-ES" sz="1100" b="0" i="1">
                        <a:latin typeface="Cambria Math" panose="02040503050406030204" pitchFamily="18" charset="0"/>
                      </a:rPr>
                      <m:t>𝐶𝑇</m:t>
                    </m:r>
                    <m:r>
                      <a:rPr lang="es-ES" sz="1100" b="0" i="1">
                        <a:latin typeface="Cambria Math" panose="02040503050406030204" pitchFamily="18" charset="0"/>
                      </a:rPr>
                      <m:t>=</m:t>
                    </m:r>
                    <m:r>
                      <a:rPr lang="es-ES" sz="1100" b="0" i="1">
                        <a:latin typeface="Cambria Math" panose="02040503050406030204" pitchFamily="18" charset="0"/>
                      </a:rPr>
                      <m:t>𝐶𝑙</m:t>
                    </m:r>
                    <m:r>
                      <a:rPr lang="es-ES" sz="1100" b="0" i="1">
                        <a:latin typeface="Cambria Math" panose="02040503050406030204" pitchFamily="18" charset="0"/>
                      </a:rPr>
                      <m:t>+ </m:t>
                    </m:r>
                    <m:sSup>
                      <m:sSupPr>
                        <m:ctrlPr>
                          <a:rPr lang="es-ES" sz="1100" b="0" i="1">
                            <a:latin typeface="Cambria Math" panose="02040503050406030204" pitchFamily="18" charset="0"/>
                          </a:rPr>
                        </m:ctrlPr>
                      </m:sSupPr>
                      <m:e>
                        <m:r>
                          <a:rPr lang="es-ES" sz="1100" b="0" i="1">
                            <a:latin typeface="Cambria Math" panose="02040503050406030204" pitchFamily="18" charset="0"/>
                          </a:rPr>
                          <m:t>𝐼𝑚𝑎𝑥</m:t>
                        </m:r>
                      </m:e>
                      <m:sup>
                        <m:r>
                          <a:rPr lang="es-ES" sz="1100" b="0" i="1">
                            <a:latin typeface="Cambria Math" panose="02040503050406030204" pitchFamily="18" charset="0"/>
                          </a:rPr>
                          <m:t>2</m:t>
                        </m:r>
                      </m:sup>
                    </m:sSup>
                    <m:r>
                      <a:rPr lang="es-ES" sz="1100" b="0" i="1">
                        <a:latin typeface="Cambria Math" panose="02040503050406030204" pitchFamily="18" charset="0"/>
                      </a:rPr>
                      <m:t>∗</m:t>
                    </m:r>
                    <m:r>
                      <a:rPr lang="es-ES" sz="1100" b="0" i="1">
                        <a:latin typeface="Cambria Math" panose="02040503050406030204" pitchFamily="18" charset="0"/>
                      </a:rPr>
                      <m:t>𝑅</m:t>
                    </m:r>
                    <m:r>
                      <a:rPr lang="es-ES" sz="1100" b="0" i="1">
                        <a:latin typeface="Cambria Math" panose="02040503050406030204" pitchFamily="18" charset="0"/>
                      </a:rPr>
                      <m:t>∗</m:t>
                    </m:r>
                    <m:r>
                      <a:rPr lang="es-ES" sz="1100" b="0" i="1">
                        <a:latin typeface="Cambria Math" panose="02040503050406030204" pitchFamily="18" charset="0"/>
                      </a:rPr>
                      <m:t>𝐿</m:t>
                    </m:r>
                    <m:r>
                      <a:rPr lang="es-ES" sz="1100" b="0" i="1">
                        <a:latin typeface="Cambria Math" panose="02040503050406030204" pitchFamily="18" charset="0"/>
                      </a:rPr>
                      <m:t>∗</m:t>
                    </m:r>
                    <m:r>
                      <a:rPr lang="es-ES" sz="1100" b="0" i="1">
                        <a:latin typeface="Cambria Math" panose="02040503050406030204" pitchFamily="18" charset="0"/>
                      </a:rPr>
                      <m:t>𝐹</m:t>
                    </m:r>
                  </m:oMath>
                </m:oMathPara>
              </a14:m>
              <a:endParaRPr lang="es-CO" sz="1100"/>
            </a:p>
          </xdr:txBody>
        </xdr:sp>
      </mc:Choice>
      <mc:Fallback xmlns="">
        <xdr:sp macro="" textlink="">
          <xdr:nvSpPr>
            <xdr:cNvPr id="53" name="CuadroTexto 52">
              <a:extLst>
                <a:ext uri="{FF2B5EF4-FFF2-40B4-BE49-F238E27FC236}">
                  <a16:creationId xmlns:a16="http://schemas.microsoft.com/office/drawing/2014/main" id="{772071EC-4181-4A47-A934-96E4E61433A2}"/>
                </a:ext>
              </a:extLst>
            </xdr:cNvPr>
            <xdr:cNvSpPr txBox="1"/>
          </xdr:nvSpPr>
          <xdr:spPr>
            <a:xfrm>
              <a:off x="3400425" y="107946825"/>
              <a:ext cx="1789044" cy="175369"/>
            </a:xfrm>
            <a:prstGeom prst="rect">
              <a:avLst/>
            </a:prstGeom>
            <a:blipFill dpi="0"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imgEffect>
                      </a14:imgLayer>
                    </a14:imgProps>
                  </a:ext>
                </a:extLst>
              </a:blip>
              <a:srcRect/>
              <a:stretch>
                <a:fillRect/>
              </a:stretch>
            </a:blip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s-ES" sz="1100" b="0" i="0">
                  <a:latin typeface="Cambria Math" panose="02040503050406030204" pitchFamily="18" charset="0"/>
                </a:rPr>
                <a:t>𝐶𝑇=𝐶𝑙+ 〖𝐼𝑚𝑎𝑥〗^2∗𝑅∗𝐿∗𝐹</a:t>
              </a:r>
              <a:endParaRPr lang="es-CO" sz="1100"/>
            </a:p>
          </xdr:txBody>
        </xdr:sp>
      </mc:Fallback>
    </mc:AlternateContent>
    <xdr:clientData/>
  </xdr:oneCellAnchor>
  <xdr:twoCellAnchor>
    <xdr:from>
      <xdr:col>13</xdr:col>
      <xdr:colOff>219075</xdr:colOff>
      <xdr:row>541</xdr:row>
      <xdr:rowOff>0</xdr:rowOff>
    </xdr:from>
    <xdr:to>
      <xdr:col>20</xdr:col>
      <xdr:colOff>143728</xdr:colOff>
      <xdr:row>542</xdr:row>
      <xdr:rowOff>0</xdr:rowOff>
    </xdr:to>
    <xdr:pic>
      <xdr:nvPicPr>
        <xdr:cNvPr id="54" name="Imagen 53">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2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438525" y="106937175"/>
          <a:ext cx="1658203"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38100</xdr:colOff>
      <xdr:row>3</xdr:row>
      <xdr:rowOff>1119</xdr:rowOff>
    </xdr:from>
    <xdr:to>
      <xdr:col>7</xdr:col>
      <xdr:colOff>202213</xdr:colOff>
      <xdr:row>4</xdr:row>
      <xdr:rowOff>117996</xdr:rowOff>
    </xdr:to>
    <xdr:pic>
      <xdr:nvPicPr>
        <xdr:cNvPr id="55" name="Imagen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4">
          <a:clrChange>
            <a:clrFrom>
              <a:srgbClr val="FFFFFF"/>
            </a:clrFrom>
            <a:clrTo>
              <a:srgbClr val="FFFFFF">
                <a:alpha val="0"/>
              </a:srgbClr>
            </a:clrTo>
          </a:clrChange>
        </a:blip>
        <a:stretch>
          <a:fillRect/>
        </a:stretch>
      </xdr:blipFill>
      <xdr:spPr>
        <a:xfrm>
          <a:off x="38100" y="734544"/>
          <a:ext cx="1897663" cy="393102"/>
        </a:xfrm>
        <a:prstGeom prst="rect">
          <a:avLst/>
        </a:prstGeom>
      </xdr:spPr>
    </xdr:pic>
    <xdr:clientData/>
  </xdr:twoCellAnchor>
  <xdr:twoCellAnchor>
    <xdr:from>
      <xdr:col>0</xdr:col>
      <xdr:colOff>219149</xdr:colOff>
      <xdr:row>1</xdr:row>
      <xdr:rowOff>28575</xdr:rowOff>
    </xdr:from>
    <xdr:to>
      <xdr:col>7</xdr:col>
      <xdr:colOff>92836</xdr:colOff>
      <xdr:row>3</xdr:row>
      <xdr:rowOff>45719</xdr:rowOff>
    </xdr:to>
    <xdr:sp macro="" textlink="">
      <xdr:nvSpPr>
        <xdr:cNvPr id="56" name="CuadroTexto 55">
          <a:extLst>
            <a:ext uri="{FF2B5EF4-FFF2-40B4-BE49-F238E27FC236}">
              <a16:creationId xmlns:a16="http://schemas.microsoft.com/office/drawing/2014/main" id="{00000000-0008-0000-0100-000038000000}"/>
            </a:ext>
          </a:extLst>
        </xdr:cNvPr>
        <xdr:cNvSpPr txBox="1"/>
      </xdr:nvSpPr>
      <xdr:spPr>
        <a:xfrm>
          <a:off x="219149" y="257175"/>
          <a:ext cx="1607237" cy="521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200" b="1">
              <a:latin typeface="Arial" panose="020B0604020202020204" pitchFamily="34" charset="0"/>
              <a:cs typeface="Arial" panose="020B0604020202020204" pitchFamily="34" charset="0"/>
            </a:rPr>
            <a:t>AGREGAR LOGO CLIENTE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2</xdr:row>
      <xdr:rowOff>256389</xdr:rowOff>
    </xdr:from>
    <xdr:to>
      <xdr:col>7</xdr:col>
      <xdr:colOff>209833</xdr:colOff>
      <xdr:row>4</xdr:row>
      <xdr:rowOff>97041</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38100" y="713589"/>
          <a:ext cx="1905283" cy="393102"/>
        </a:xfrm>
        <a:prstGeom prst="rect">
          <a:avLst/>
        </a:prstGeom>
      </xdr:spPr>
    </xdr:pic>
    <xdr:clientData/>
  </xdr:twoCellAnchor>
  <xdr:twoCellAnchor>
    <xdr:from>
      <xdr:col>0</xdr:col>
      <xdr:colOff>215339</xdr:colOff>
      <xdr:row>1</xdr:row>
      <xdr:rowOff>9525</xdr:rowOff>
    </xdr:from>
    <xdr:to>
      <xdr:col>7</xdr:col>
      <xdr:colOff>92836</xdr:colOff>
      <xdr:row>3</xdr:row>
      <xdr:rowOff>28574</xdr:rowOff>
    </xdr:to>
    <xdr:sp macro="" textlink="">
      <xdr:nvSpPr>
        <xdr:cNvPr id="8" name="CuadroTexto 7">
          <a:extLst>
            <a:ext uri="{FF2B5EF4-FFF2-40B4-BE49-F238E27FC236}">
              <a16:creationId xmlns:a16="http://schemas.microsoft.com/office/drawing/2014/main" id="{00000000-0008-0000-0A00-000008000000}"/>
            </a:ext>
          </a:extLst>
        </xdr:cNvPr>
        <xdr:cNvSpPr txBox="1"/>
      </xdr:nvSpPr>
      <xdr:spPr>
        <a:xfrm>
          <a:off x="215339" y="238125"/>
          <a:ext cx="1611047" cy="523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200" b="1">
              <a:latin typeface="Arial" panose="020B0604020202020204" pitchFamily="34" charset="0"/>
              <a:cs typeface="Arial" panose="020B0604020202020204" pitchFamily="34" charset="0"/>
            </a:rPr>
            <a:t>AGREGAR LOGO CLIENTE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132604</xdr:colOff>
      <xdr:row>0</xdr:row>
      <xdr:rowOff>149499</xdr:rowOff>
    </xdr:from>
    <xdr:to>
      <xdr:col>7</xdr:col>
      <xdr:colOff>103035</xdr:colOff>
      <xdr:row>5</xdr:row>
      <xdr:rowOff>21176</xdr:rowOff>
    </xdr:to>
    <xdr:grpSp>
      <xdr:nvGrpSpPr>
        <xdr:cNvPr id="2" name="Grupo 1">
          <a:extLst>
            <a:ext uri="{FF2B5EF4-FFF2-40B4-BE49-F238E27FC236}">
              <a16:creationId xmlns:a16="http://schemas.microsoft.com/office/drawing/2014/main" id="{9BB4C862-3068-4B47-B621-EAE0C09F0DC4}"/>
            </a:ext>
          </a:extLst>
        </xdr:cNvPr>
        <xdr:cNvGrpSpPr/>
      </xdr:nvGrpSpPr>
      <xdr:grpSpPr>
        <a:xfrm>
          <a:off x="136414" y="149499"/>
          <a:ext cx="1698266" cy="1010867"/>
          <a:chOff x="135172" y="171450"/>
          <a:chExt cx="1757238" cy="988670"/>
        </a:xfrm>
      </xdr:grpSpPr>
      <xdr:pic>
        <xdr:nvPicPr>
          <xdr:cNvPr id="3" name="Picture 1" descr="logoword">
            <a:extLst>
              <a:ext uri="{FF2B5EF4-FFF2-40B4-BE49-F238E27FC236}">
                <a16:creationId xmlns:a16="http://schemas.microsoft.com/office/drawing/2014/main" id="{9F84B324-72C7-3632-9C51-88A9FD747C59}"/>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95034" y="171450"/>
            <a:ext cx="1249488" cy="641439"/>
          </a:xfrm>
          <a:prstGeom prst="rect">
            <a:avLst/>
          </a:prstGeom>
          <a:noFill/>
          <a:ln w="9525">
            <a:noFill/>
            <a:miter lim="800000"/>
            <a:headEnd/>
            <a:tailEnd/>
          </a:ln>
        </xdr:spPr>
      </xdr:pic>
      <xdr:pic>
        <xdr:nvPicPr>
          <xdr:cNvPr id="4" name="Imagen 3">
            <a:extLst>
              <a:ext uri="{FF2B5EF4-FFF2-40B4-BE49-F238E27FC236}">
                <a16:creationId xmlns:a16="http://schemas.microsoft.com/office/drawing/2014/main" id="{89674FEB-EC1D-5F50-8086-AE16898E2D17}"/>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35172" y="811585"/>
            <a:ext cx="1757238" cy="34853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129789</xdr:colOff>
      <xdr:row>0</xdr:row>
      <xdr:rowOff>149500</xdr:rowOff>
    </xdr:from>
    <xdr:to>
      <xdr:col>7</xdr:col>
      <xdr:colOff>107840</xdr:colOff>
      <xdr:row>5</xdr:row>
      <xdr:rowOff>21177</xdr:rowOff>
    </xdr:to>
    <xdr:grpSp>
      <xdr:nvGrpSpPr>
        <xdr:cNvPr id="2" name="Grupo 1">
          <a:extLst>
            <a:ext uri="{FF2B5EF4-FFF2-40B4-BE49-F238E27FC236}">
              <a16:creationId xmlns:a16="http://schemas.microsoft.com/office/drawing/2014/main" id="{E88F16D6-346E-41BE-B07B-C8563CED27EC}"/>
            </a:ext>
          </a:extLst>
        </xdr:cNvPr>
        <xdr:cNvGrpSpPr/>
      </xdr:nvGrpSpPr>
      <xdr:grpSpPr>
        <a:xfrm>
          <a:off x="133599" y="149500"/>
          <a:ext cx="1716144" cy="1003540"/>
          <a:chOff x="135172" y="171450"/>
          <a:chExt cx="1757238" cy="988670"/>
        </a:xfrm>
      </xdr:grpSpPr>
      <xdr:pic>
        <xdr:nvPicPr>
          <xdr:cNvPr id="3" name="Picture 1" descr="logoword">
            <a:extLst>
              <a:ext uri="{FF2B5EF4-FFF2-40B4-BE49-F238E27FC236}">
                <a16:creationId xmlns:a16="http://schemas.microsoft.com/office/drawing/2014/main" id="{D9850E1D-7D79-72C6-8BD0-98F1BBEF9B6B}"/>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95034" y="171450"/>
            <a:ext cx="1249488" cy="641439"/>
          </a:xfrm>
          <a:prstGeom prst="rect">
            <a:avLst/>
          </a:prstGeom>
          <a:noFill/>
          <a:ln w="9525">
            <a:noFill/>
            <a:miter lim="800000"/>
            <a:headEnd/>
            <a:tailEnd/>
          </a:ln>
        </xdr:spPr>
      </xdr:pic>
      <xdr:pic>
        <xdr:nvPicPr>
          <xdr:cNvPr id="4" name="Imagen 3">
            <a:extLst>
              <a:ext uri="{FF2B5EF4-FFF2-40B4-BE49-F238E27FC236}">
                <a16:creationId xmlns:a16="http://schemas.microsoft.com/office/drawing/2014/main" id="{D0FF6CD8-8555-D715-341C-FEDB6F8B2C24}"/>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35172" y="811585"/>
            <a:ext cx="1757238" cy="34853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436995</xdr:colOff>
      <xdr:row>2</xdr:row>
      <xdr:rowOff>178281</xdr:rowOff>
    </xdr:from>
    <xdr:to>
      <xdr:col>4</xdr:col>
      <xdr:colOff>1127323</xdr:colOff>
      <xdr:row>5</xdr:row>
      <xdr:rowOff>60865</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68268" y="819054"/>
          <a:ext cx="1811507" cy="530976"/>
        </a:xfrm>
        <a:prstGeom prst="rect">
          <a:avLst/>
        </a:prstGeom>
      </xdr:spPr>
    </xdr:pic>
    <xdr:clientData/>
  </xdr:twoCellAnchor>
  <xdr:twoCellAnchor editAs="oneCell">
    <xdr:from>
      <xdr:col>3</xdr:col>
      <xdr:colOff>598714</xdr:colOff>
      <xdr:row>1</xdr:row>
      <xdr:rowOff>108858</xdr:rowOff>
    </xdr:from>
    <xdr:to>
      <xdr:col>4</xdr:col>
      <xdr:colOff>1082395</xdr:colOff>
      <xdr:row>2</xdr:row>
      <xdr:rowOff>212816</xdr:rowOff>
    </xdr:to>
    <xdr:pic>
      <xdr:nvPicPr>
        <xdr:cNvPr id="2" name="Imagen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28750" y="340179"/>
          <a:ext cx="1605998"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911225</xdr:colOff>
      <xdr:row>64</xdr:row>
      <xdr:rowOff>76200</xdr:rowOff>
    </xdr:from>
    <xdr:to>
      <xdr:col>12</xdr:col>
      <xdr:colOff>714133</xdr:colOff>
      <xdr:row>71</xdr:row>
      <xdr:rowOff>28439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9531350" y="13706475"/>
          <a:ext cx="2012708" cy="1085714"/>
        </a:xfrm>
        <a:prstGeom prst="rect">
          <a:avLst/>
        </a:prstGeom>
      </xdr:spPr>
    </xdr:pic>
    <xdr:clientData/>
  </xdr:twoCellAnchor>
  <xdr:twoCellAnchor>
    <xdr:from>
      <xdr:col>8</xdr:col>
      <xdr:colOff>447675</xdr:colOff>
      <xdr:row>72</xdr:row>
      <xdr:rowOff>0</xdr:rowOff>
    </xdr:from>
    <xdr:to>
      <xdr:col>10</xdr:col>
      <xdr:colOff>419100</xdr:colOff>
      <xdr:row>72</xdr:row>
      <xdr:rowOff>18983</xdr:rowOff>
    </xdr:to>
    <xdr:cxnSp macro="">
      <xdr:nvCxnSpPr>
        <xdr:cNvPr id="4" name="Conector recto de flecha 3">
          <a:extLst>
            <a:ext uri="{FF2B5EF4-FFF2-40B4-BE49-F238E27FC236}">
              <a16:creationId xmlns:a16="http://schemas.microsoft.com/office/drawing/2014/main" id="{00000000-0008-0000-0800-000004000000}"/>
            </a:ext>
          </a:extLst>
        </xdr:cNvPr>
        <xdr:cNvCxnSpPr/>
      </xdr:nvCxnSpPr>
      <xdr:spPr bwMode="auto">
        <a:xfrm flipV="1">
          <a:off x="6715125" y="6210300"/>
          <a:ext cx="1790700" cy="18983"/>
        </a:xfrm>
        <a:prstGeom prst="straightConnector1">
          <a:avLst/>
        </a:prstGeom>
        <a:solidFill>
          <a:srgbClr val="FFFFFF"/>
        </a:solidFill>
        <a:ln w="9525" cap="flat" cmpd="sng" algn="ctr">
          <a:solidFill>
            <a:srgbClr val="000000"/>
          </a:solidFill>
          <a:prstDash val="solid"/>
          <a:round/>
          <a:headEnd type="triangle"/>
          <a:tailEnd type="triangle"/>
        </a:ln>
        <a:effectLst/>
      </xdr:spPr>
    </xdr:cxnSp>
    <xdr:clientData/>
  </xdr:twoCellAnchor>
  <xdr:twoCellAnchor editAs="oneCell">
    <xdr:from>
      <xdr:col>17</xdr:col>
      <xdr:colOff>19050</xdr:colOff>
      <xdr:row>80</xdr:row>
      <xdr:rowOff>314325</xdr:rowOff>
    </xdr:from>
    <xdr:to>
      <xdr:col>18</xdr:col>
      <xdr:colOff>588480</xdr:colOff>
      <xdr:row>82</xdr:row>
      <xdr:rowOff>57150</xdr:rowOff>
    </xdr:to>
    <xdr:pic>
      <xdr:nvPicPr>
        <xdr:cNvPr id="6" name="Imagen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srcRect b="24784"/>
        <a:stretch/>
      </xdr:blipFill>
      <xdr:spPr>
        <a:xfrm>
          <a:off x="14916150" y="7820025"/>
          <a:ext cx="1323810" cy="866775"/>
        </a:xfrm>
        <a:prstGeom prst="rect">
          <a:avLst/>
        </a:prstGeom>
      </xdr:spPr>
    </xdr:pic>
    <xdr:clientData/>
  </xdr:twoCellAnchor>
  <xdr:twoCellAnchor editAs="oneCell">
    <xdr:from>
      <xdr:col>17</xdr:col>
      <xdr:colOff>76201</xdr:colOff>
      <xdr:row>88</xdr:row>
      <xdr:rowOff>314326</xdr:rowOff>
    </xdr:from>
    <xdr:to>
      <xdr:col>18</xdr:col>
      <xdr:colOff>745173</xdr:colOff>
      <xdr:row>91</xdr:row>
      <xdr:rowOff>133351</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3"/>
        <a:stretch>
          <a:fillRect/>
        </a:stretch>
      </xdr:blipFill>
      <xdr:spPr>
        <a:xfrm>
          <a:off x="14973301" y="9763126"/>
          <a:ext cx="1427162" cy="1104900"/>
        </a:xfrm>
        <a:prstGeom prst="rect">
          <a:avLst/>
        </a:prstGeom>
      </xdr:spPr>
    </xdr:pic>
    <xdr:clientData/>
  </xdr:twoCellAnchor>
  <xdr:twoCellAnchor editAs="oneCell">
    <xdr:from>
      <xdr:col>19</xdr:col>
      <xdr:colOff>257175</xdr:colOff>
      <xdr:row>88</xdr:row>
      <xdr:rowOff>323851</xdr:rowOff>
    </xdr:from>
    <xdr:to>
      <xdr:col>21</xdr:col>
      <xdr:colOff>364808</xdr:colOff>
      <xdr:row>90</xdr:row>
      <xdr:rowOff>135256</xdr:rowOff>
    </xdr:to>
    <xdr:pic>
      <xdr:nvPicPr>
        <xdr:cNvPr id="8" name="Imagen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4"/>
        <a:stretch>
          <a:fillRect/>
        </a:stretch>
      </xdr:blipFill>
      <xdr:spPr>
        <a:xfrm>
          <a:off x="16678275" y="9772651"/>
          <a:ext cx="1643063" cy="952500"/>
        </a:xfrm>
        <a:prstGeom prst="rect">
          <a:avLst/>
        </a:prstGeom>
      </xdr:spPr>
    </xdr:pic>
    <xdr:clientData/>
  </xdr:twoCellAnchor>
  <xdr:twoCellAnchor editAs="oneCell">
    <xdr:from>
      <xdr:col>17</xdr:col>
      <xdr:colOff>19050</xdr:colOff>
      <xdr:row>95</xdr:row>
      <xdr:rowOff>104775</xdr:rowOff>
    </xdr:from>
    <xdr:to>
      <xdr:col>18</xdr:col>
      <xdr:colOff>621665</xdr:colOff>
      <xdr:row>100</xdr:row>
      <xdr:rowOff>112477</xdr:rowOff>
    </xdr:to>
    <xdr:pic>
      <xdr:nvPicPr>
        <xdr:cNvPr id="9" name="Imagen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5"/>
        <a:stretch>
          <a:fillRect/>
        </a:stretch>
      </xdr:blipFill>
      <xdr:spPr>
        <a:xfrm>
          <a:off x="14916150" y="11334750"/>
          <a:ext cx="1371600" cy="1626952"/>
        </a:xfrm>
        <a:prstGeom prst="rect">
          <a:avLst/>
        </a:prstGeom>
      </xdr:spPr>
    </xdr:pic>
    <xdr:clientData/>
  </xdr:twoCellAnchor>
  <xdr:twoCellAnchor editAs="oneCell">
    <xdr:from>
      <xdr:col>19</xdr:col>
      <xdr:colOff>180975</xdr:colOff>
      <xdr:row>96</xdr:row>
      <xdr:rowOff>104776</xdr:rowOff>
    </xdr:from>
    <xdr:to>
      <xdr:col>21</xdr:col>
      <xdr:colOff>301779</xdr:colOff>
      <xdr:row>98</xdr:row>
      <xdr:rowOff>88266</xdr:rowOff>
    </xdr:to>
    <xdr:pic>
      <xdr:nvPicPr>
        <xdr:cNvPr id="10" name="Imagen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stretch>
          <a:fillRect/>
        </a:stretch>
      </xdr:blipFill>
      <xdr:spPr>
        <a:xfrm>
          <a:off x="16602075" y="11496676"/>
          <a:ext cx="1644804" cy="1123950"/>
        </a:xfrm>
        <a:prstGeom prst="rect">
          <a:avLst/>
        </a:prstGeom>
      </xdr:spPr>
    </xdr:pic>
    <xdr:clientData/>
  </xdr:twoCellAnchor>
  <xdr:twoCellAnchor editAs="oneCell">
    <xdr:from>
      <xdr:col>10</xdr:col>
      <xdr:colOff>854075</xdr:colOff>
      <xdr:row>70</xdr:row>
      <xdr:rowOff>9525</xdr:rowOff>
    </xdr:from>
    <xdr:to>
      <xdr:col>12</xdr:col>
      <xdr:colOff>675398</xdr:colOff>
      <xdr:row>76</xdr:row>
      <xdr:rowOff>104639</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9474200" y="14611350"/>
          <a:ext cx="2031123" cy="1066664"/>
        </a:xfrm>
        <a:prstGeom prst="rect">
          <a:avLst/>
        </a:prstGeom>
      </xdr:spPr>
    </xdr:pic>
    <xdr:clientData/>
  </xdr:twoCellAnchor>
  <xdr:twoCellAnchor>
    <xdr:from>
      <xdr:col>10</xdr:col>
      <xdr:colOff>1006475</xdr:colOff>
      <xdr:row>64</xdr:row>
      <xdr:rowOff>28575</xdr:rowOff>
    </xdr:from>
    <xdr:to>
      <xdr:col>12</xdr:col>
      <xdr:colOff>752475</xdr:colOff>
      <xdr:row>64</xdr:row>
      <xdr:rowOff>47558</xdr:rowOff>
    </xdr:to>
    <xdr:cxnSp macro="">
      <xdr:nvCxnSpPr>
        <xdr:cNvPr id="5" name="Conector recto de flecha 4">
          <a:extLst>
            <a:ext uri="{FF2B5EF4-FFF2-40B4-BE49-F238E27FC236}">
              <a16:creationId xmlns:a16="http://schemas.microsoft.com/office/drawing/2014/main" id="{00000000-0008-0000-0800-000005000000}"/>
            </a:ext>
          </a:extLst>
        </xdr:cNvPr>
        <xdr:cNvCxnSpPr/>
      </xdr:nvCxnSpPr>
      <xdr:spPr bwMode="auto">
        <a:xfrm flipV="1">
          <a:off x="9626600" y="13658850"/>
          <a:ext cx="1955800" cy="18983"/>
        </a:xfrm>
        <a:prstGeom prst="straightConnector1">
          <a:avLst/>
        </a:prstGeom>
        <a:solidFill>
          <a:srgbClr val="FFFFFF"/>
        </a:solidFill>
        <a:ln w="9525" cap="flat" cmpd="sng" algn="ctr">
          <a:solidFill>
            <a:srgbClr val="000000"/>
          </a:solidFill>
          <a:prstDash val="solid"/>
          <a:round/>
          <a:headEnd type="triangle"/>
          <a:tailEnd type="triangle"/>
        </a:ln>
        <a:effectLst/>
      </xdr:spPr>
    </xdr:cxnSp>
    <xdr:clientData/>
  </xdr:twoCellAnchor>
  <xdr:twoCellAnchor editAs="oneCell">
    <xdr:from>
      <xdr:col>16</xdr:col>
      <xdr:colOff>304800</xdr:colOff>
      <xdr:row>80</xdr:row>
      <xdr:rowOff>229507</xdr:rowOff>
    </xdr:from>
    <xdr:to>
      <xdr:col>18</xdr:col>
      <xdr:colOff>95085</xdr:colOff>
      <xdr:row>81</xdr:row>
      <xdr:rowOff>435247</xdr:rowOff>
    </xdr:to>
    <xdr:pic>
      <xdr:nvPicPr>
        <xdr:cNvPr id="11" name="Imagen 10">
          <a:extLst>
            <a:ext uri="{FF2B5EF4-FFF2-40B4-BE49-F238E27FC236}">
              <a16:creationId xmlns:a16="http://schemas.microsoft.com/office/drawing/2014/main" id="{00000000-0008-0000-0800-00000B000000}"/>
            </a:ext>
          </a:extLst>
        </xdr:cNvPr>
        <xdr:cNvPicPr>
          <a:picLocks noChangeAspect="1"/>
        </xdr:cNvPicPr>
      </xdr:nvPicPr>
      <xdr:blipFill rotWithShape="1">
        <a:blip xmlns:r="http://schemas.openxmlformats.org/officeDocument/2006/relationships" r:embed="rId2"/>
        <a:srcRect b="24784"/>
        <a:stretch/>
      </xdr:blipFill>
      <xdr:spPr>
        <a:xfrm>
          <a:off x="14958060" y="16947787"/>
          <a:ext cx="1384770" cy="857250"/>
        </a:xfrm>
        <a:prstGeom prst="rect">
          <a:avLst/>
        </a:prstGeom>
      </xdr:spPr>
    </xdr:pic>
    <xdr:clientData/>
  </xdr:twoCellAnchor>
  <xdr:twoCellAnchor editAs="oneCell">
    <xdr:from>
      <xdr:col>17</xdr:col>
      <xdr:colOff>76201</xdr:colOff>
      <xdr:row>88</xdr:row>
      <xdr:rowOff>314326</xdr:rowOff>
    </xdr:from>
    <xdr:to>
      <xdr:col>18</xdr:col>
      <xdr:colOff>736283</xdr:colOff>
      <xdr:row>91</xdr:row>
      <xdr:rowOff>116841</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3"/>
        <a:stretch>
          <a:fillRect/>
        </a:stretch>
      </xdr:blipFill>
      <xdr:spPr>
        <a:xfrm>
          <a:off x="15521941" y="19189066"/>
          <a:ext cx="1457642" cy="1124585"/>
        </a:xfrm>
        <a:prstGeom prst="rect">
          <a:avLst/>
        </a:prstGeom>
      </xdr:spPr>
    </xdr:pic>
    <xdr:clientData/>
  </xdr:twoCellAnchor>
  <xdr:twoCellAnchor editAs="oneCell">
    <xdr:from>
      <xdr:col>19</xdr:col>
      <xdr:colOff>257175</xdr:colOff>
      <xdr:row>88</xdr:row>
      <xdr:rowOff>323851</xdr:rowOff>
    </xdr:from>
    <xdr:to>
      <xdr:col>21</xdr:col>
      <xdr:colOff>361633</xdr:colOff>
      <xdr:row>90</xdr:row>
      <xdr:rowOff>130176</xdr:rowOff>
    </xdr:to>
    <xdr:pic>
      <xdr:nvPicPr>
        <xdr:cNvPr id="13" name="Imagen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4"/>
        <a:stretch>
          <a:fillRect/>
        </a:stretch>
      </xdr:blipFill>
      <xdr:spPr>
        <a:xfrm>
          <a:off x="17287875" y="19198591"/>
          <a:ext cx="1700848" cy="966470"/>
        </a:xfrm>
        <a:prstGeom prst="rect">
          <a:avLst/>
        </a:prstGeom>
      </xdr:spPr>
    </xdr:pic>
    <xdr:clientData/>
  </xdr:twoCellAnchor>
  <xdr:twoCellAnchor editAs="oneCell">
    <xdr:from>
      <xdr:col>17</xdr:col>
      <xdr:colOff>19050</xdr:colOff>
      <xdr:row>95</xdr:row>
      <xdr:rowOff>104775</xdr:rowOff>
    </xdr:from>
    <xdr:to>
      <xdr:col>18</xdr:col>
      <xdr:colOff>630555</xdr:colOff>
      <xdr:row>100</xdr:row>
      <xdr:rowOff>93427</xdr:rowOff>
    </xdr:to>
    <xdr:pic>
      <xdr:nvPicPr>
        <xdr:cNvPr id="14" name="Imagen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5"/>
        <a:stretch>
          <a:fillRect/>
        </a:stretch>
      </xdr:blipFill>
      <xdr:spPr>
        <a:xfrm>
          <a:off x="15464790" y="20968335"/>
          <a:ext cx="1402080" cy="1661242"/>
        </a:xfrm>
        <a:prstGeom prst="rect">
          <a:avLst/>
        </a:prstGeom>
      </xdr:spPr>
    </xdr:pic>
    <xdr:clientData/>
  </xdr:twoCellAnchor>
  <xdr:twoCellAnchor editAs="oneCell">
    <xdr:from>
      <xdr:col>19</xdr:col>
      <xdr:colOff>180975</xdr:colOff>
      <xdr:row>96</xdr:row>
      <xdr:rowOff>104776</xdr:rowOff>
    </xdr:from>
    <xdr:to>
      <xdr:col>21</xdr:col>
      <xdr:colOff>303684</xdr:colOff>
      <xdr:row>98</xdr:row>
      <xdr:rowOff>95251</xdr:rowOff>
    </xdr:to>
    <xdr:pic>
      <xdr:nvPicPr>
        <xdr:cNvPr id="15" name="Imagen 14">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6"/>
        <a:stretch>
          <a:fillRect/>
        </a:stretch>
      </xdr:blipFill>
      <xdr:spPr>
        <a:xfrm>
          <a:off x="17211675" y="21135976"/>
          <a:ext cx="1705764" cy="1141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396875</xdr:colOff>
      <xdr:row>2</xdr:row>
      <xdr:rowOff>198486</xdr:rowOff>
    </xdr:from>
    <xdr:to>
      <xdr:col>4</xdr:col>
      <xdr:colOff>892892</xdr:colOff>
      <xdr:row>5</xdr:row>
      <xdr:rowOff>136257</xdr:rowOff>
    </xdr:to>
    <xdr:pic>
      <xdr:nvPicPr>
        <xdr:cNvPr id="6" name="Imagen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4750" y="833486"/>
          <a:ext cx="1825073" cy="535306"/>
        </a:xfrm>
        <a:prstGeom prst="rect">
          <a:avLst/>
        </a:prstGeom>
      </xdr:spPr>
    </xdr:pic>
    <xdr:clientData/>
  </xdr:twoCellAnchor>
  <xdr:twoCellAnchor editAs="oneCell">
    <xdr:from>
      <xdr:col>3</xdr:col>
      <xdr:colOff>557892</xdr:colOff>
      <xdr:row>1</xdr:row>
      <xdr:rowOff>190500</xdr:rowOff>
    </xdr:from>
    <xdr:to>
      <xdr:col>4</xdr:col>
      <xdr:colOff>835832</xdr:colOff>
      <xdr:row>3</xdr:row>
      <xdr:rowOff>17870</xdr:rowOff>
    </xdr:to>
    <xdr:pic>
      <xdr:nvPicPr>
        <xdr:cNvPr id="2" name="Imagen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499" y="421821"/>
          <a:ext cx="1605998"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31750</xdr:colOff>
      <xdr:row>2</xdr:row>
      <xdr:rowOff>115936</xdr:rowOff>
    </xdr:from>
    <xdr:to>
      <xdr:col>4</xdr:col>
      <xdr:colOff>1367</xdr:colOff>
      <xdr:row>5</xdr:row>
      <xdr:rowOff>54342</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5875" y="766811"/>
          <a:ext cx="1910798" cy="522606"/>
        </a:xfrm>
        <a:prstGeom prst="rect">
          <a:avLst/>
        </a:prstGeom>
      </xdr:spPr>
    </xdr:pic>
    <xdr:clientData/>
  </xdr:twoCellAnchor>
  <xdr:twoCellAnchor editAs="oneCell">
    <xdr:from>
      <xdr:col>3</xdr:col>
      <xdr:colOff>238125</xdr:colOff>
      <xdr:row>1</xdr:row>
      <xdr:rowOff>95250</xdr:rowOff>
    </xdr:from>
    <xdr:to>
      <xdr:col>3</xdr:col>
      <xdr:colOff>1921495</xdr:colOff>
      <xdr:row>2</xdr:row>
      <xdr:rowOff>210185</xdr:rowOff>
    </xdr:to>
    <xdr:pic>
      <xdr:nvPicPr>
        <xdr:cNvPr id="2" name="Imagen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2250" y="317500"/>
          <a:ext cx="1605998"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311126</xdr:colOff>
      <xdr:row>2</xdr:row>
      <xdr:rowOff>86472</xdr:rowOff>
    </xdr:from>
    <xdr:to>
      <xdr:col>7</xdr:col>
      <xdr:colOff>92692</xdr:colOff>
      <xdr:row>5</xdr:row>
      <xdr:rowOff>20220</xdr:rowOff>
    </xdr:to>
    <xdr:pic>
      <xdr:nvPicPr>
        <xdr:cNvPr id="6" name="Imagen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51720" y="717503"/>
          <a:ext cx="1834045" cy="518901"/>
        </a:xfrm>
        <a:prstGeom prst="rect">
          <a:avLst/>
        </a:prstGeom>
      </xdr:spPr>
    </xdr:pic>
    <xdr:clientData/>
  </xdr:twoCellAnchor>
  <xdr:twoCellAnchor editAs="oneCell">
    <xdr:from>
      <xdr:col>3</xdr:col>
      <xdr:colOff>202407</xdr:colOff>
      <xdr:row>1</xdr:row>
      <xdr:rowOff>59530</xdr:rowOff>
    </xdr:from>
    <xdr:to>
      <xdr:col>7</xdr:col>
      <xdr:colOff>131413</xdr:colOff>
      <xdr:row>2</xdr:row>
      <xdr:rowOff>173629</xdr:rowOff>
    </xdr:to>
    <xdr:pic>
      <xdr:nvPicPr>
        <xdr:cNvPr id="2" name="Imagen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12095" y="285749"/>
          <a:ext cx="1598421" cy="5290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51</xdr:col>
      <xdr:colOff>505064</xdr:colOff>
      <xdr:row>14</xdr:row>
      <xdr:rowOff>35378</xdr:rowOff>
    </xdr:from>
    <xdr:to>
      <xdr:col>51</xdr:col>
      <xdr:colOff>714614</xdr:colOff>
      <xdr:row>14</xdr:row>
      <xdr:rowOff>216353</xdr:rowOff>
    </xdr:to>
    <xdr:pic>
      <xdr:nvPicPr>
        <xdr:cNvPr id="7" name="Imagen 6">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717123" y="3531613"/>
          <a:ext cx="2095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53</xdr:col>
      <xdr:colOff>425903</xdr:colOff>
      <xdr:row>2</xdr:row>
      <xdr:rowOff>35378</xdr:rowOff>
    </xdr:from>
    <xdr:to>
      <xdr:col>53</xdr:col>
      <xdr:colOff>616403</xdr:colOff>
      <xdr:row>2</xdr:row>
      <xdr:rowOff>216353</xdr:rowOff>
    </xdr:to>
    <xdr:pic>
      <xdr:nvPicPr>
        <xdr:cNvPr id="8" name="Imagen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297053" y="625928"/>
          <a:ext cx="1905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84</xdr:col>
          <xdr:colOff>259080</xdr:colOff>
          <xdr:row>3</xdr:row>
          <xdr:rowOff>121920</xdr:rowOff>
        </xdr:from>
        <xdr:to>
          <xdr:col>86</xdr:col>
          <xdr:colOff>571500</xdr:colOff>
          <xdr:row>8</xdr:row>
          <xdr:rowOff>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0D00-000001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000" b="0" i="0" u="none" strike="noStrike" baseline="0">
                  <a:solidFill>
                    <a:srgbClr val="000000"/>
                  </a:solidFill>
                  <a:latin typeface="Arial"/>
                  <a:cs typeface="Arial"/>
                </a:rPr>
                <a:t>PARA LA SUMA TOTAL DE LOS CABLES,</a:t>
              </a:r>
            </a:p>
            <a:p>
              <a:pPr algn="ctr" rtl="0">
                <a:defRPr sz="1000"/>
              </a:pPr>
              <a:r>
                <a:rPr lang="es-CO" sz="1000" b="0" i="0" u="none" strike="noStrike" baseline="0">
                  <a:solidFill>
                    <a:srgbClr val="000000"/>
                  </a:solidFill>
                  <a:latin typeface="Arial"/>
                  <a:cs typeface="Arial"/>
                </a:rPr>
                <a:t> </a:t>
              </a:r>
              <a:r>
                <a:rPr lang="es-CO" sz="1000" b="1" i="1" u="sng" strike="noStrike" baseline="0">
                  <a:solidFill>
                    <a:srgbClr val="000000"/>
                  </a:solidFill>
                  <a:latin typeface="Arial"/>
                  <a:cs typeface="Arial"/>
                </a:rPr>
                <a:t>NO TENER EN CUENTA</a:t>
              </a:r>
              <a:r>
                <a:rPr lang="es-CO" sz="1000" b="0" i="0" u="none" strike="noStrike" baseline="0">
                  <a:solidFill>
                    <a:srgbClr val="000000"/>
                  </a:solidFill>
                  <a:latin typeface="Arial"/>
                  <a:cs typeface="Arial"/>
                </a:rPr>
                <a:t> </a:t>
              </a:r>
            </a:p>
            <a:p>
              <a:pPr algn="ctr" rtl="0">
                <a:defRPr sz="1000"/>
              </a:pPr>
              <a:r>
                <a:rPr lang="es-CO" sz="1000" b="0" i="0" u="none" strike="noStrike" baseline="0">
                  <a:solidFill>
                    <a:srgbClr val="000000"/>
                  </a:solidFill>
                  <a:latin typeface="Arial"/>
                  <a:cs typeface="Arial"/>
                </a:rPr>
                <a:t>LOS CABLES ARMADOS DE MEDIA TENSIÓN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259080</xdr:colOff>
          <xdr:row>9</xdr:row>
          <xdr:rowOff>76200</xdr:rowOff>
        </xdr:from>
        <xdr:to>
          <xdr:col>86</xdr:col>
          <xdr:colOff>579120</xdr:colOff>
          <xdr:row>13</xdr:row>
          <xdr:rowOff>121920</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0D00-000003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000" b="0" i="0" u="none" strike="noStrike" baseline="0">
                  <a:solidFill>
                    <a:srgbClr val="000000"/>
                  </a:solidFill>
                  <a:latin typeface="Arial"/>
                  <a:cs typeface="Arial"/>
                </a:rPr>
                <a:t>PARA LA SUMA TOTAL DE LOS CABLES, </a:t>
              </a:r>
            </a:p>
            <a:p>
              <a:pPr algn="ctr" rtl="0">
                <a:defRPr sz="1000"/>
              </a:pPr>
              <a:r>
                <a:rPr lang="es-CO" sz="1000" b="1" i="1" u="sng" strike="noStrike" baseline="0">
                  <a:solidFill>
                    <a:srgbClr val="000000"/>
                  </a:solidFill>
                  <a:latin typeface="Arial"/>
                  <a:cs typeface="Arial"/>
                </a:rPr>
                <a:t>INCLUIR</a:t>
              </a:r>
              <a:r>
                <a:rPr lang="es-CO" sz="1000" b="0" i="0" u="none" strike="noStrike" baseline="0">
                  <a:solidFill>
                    <a:srgbClr val="000000"/>
                  </a:solidFill>
                  <a:latin typeface="Arial"/>
                  <a:cs typeface="Arial"/>
                </a:rPr>
                <a:t> </a:t>
              </a:r>
            </a:p>
            <a:p>
              <a:pPr algn="ctr" rtl="0">
                <a:defRPr sz="1000"/>
              </a:pPr>
              <a:r>
                <a:rPr lang="es-CO" sz="1000" b="0" i="0" u="none" strike="noStrike" baseline="0">
                  <a:solidFill>
                    <a:srgbClr val="000000"/>
                  </a:solidFill>
                  <a:latin typeface="Arial"/>
                  <a:cs typeface="Arial"/>
                </a:rPr>
                <a:t>LOS CABLES ARMADOS DE MEDIA TENSIÓN </a:t>
              </a:r>
            </a:p>
          </xdr:txBody>
        </xdr:sp>
        <xdr:clientData fPrintsWithSheet="0"/>
      </xdr:twoCellAnchor>
    </mc:Choice>
    <mc:Fallback/>
  </mc:AlternateContent>
  <xdr:twoCellAnchor editAs="oneCell">
    <xdr:from>
      <xdr:col>3</xdr:col>
      <xdr:colOff>111125</xdr:colOff>
      <xdr:row>2</xdr:row>
      <xdr:rowOff>106411</xdr:rowOff>
    </xdr:from>
    <xdr:to>
      <xdr:col>4</xdr:col>
      <xdr:colOff>59773</xdr:colOff>
      <xdr:row>5</xdr:row>
      <xdr:rowOff>58152</xdr:rowOff>
    </xdr:to>
    <xdr:pic>
      <xdr:nvPicPr>
        <xdr:cNvPr id="6" name="Imagen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79500" y="741411"/>
          <a:ext cx="1812373" cy="528956"/>
        </a:xfrm>
        <a:prstGeom prst="rect">
          <a:avLst/>
        </a:prstGeom>
      </xdr:spPr>
    </xdr:pic>
    <xdr:clientData/>
  </xdr:twoCellAnchor>
  <xdr:twoCellAnchor editAs="oneCell">
    <xdr:from>
      <xdr:col>3</xdr:col>
      <xdr:colOff>352425</xdr:colOff>
      <xdr:row>1</xdr:row>
      <xdr:rowOff>95250</xdr:rowOff>
    </xdr:from>
    <xdr:to>
      <xdr:col>4</xdr:col>
      <xdr:colOff>97873</xdr:colOff>
      <xdr:row>2</xdr:row>
      <xdr:rowOff>205740</xdr:rowOff>
    </xdr:to>
    <xdr:pic>
      <xdr:nvPicPr>
        <xdr:cNvPr id="2" name="Imagen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23975" y="323850"/>
          <a:ext cx="1605998"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62</xdr:col>
      <xdr:colOff>415418</xdr:colOff>
      <xdr:row>1</xdr:row>
      <xdr:rowOff>35378</xdr:rowOff>
    </xdr:from>
    <xdr:to>
      <xdr:col>62</xdr:col>
      <xdr:colOff>624968</xdr:colOff>
      <xdr:row>1</xdr:row>
      <xdr:rowOff>216353</xdr:rowOff>
    </xdr:to>
    <xdr:pic>
      <xdr:nvPicPr>
        <xdr:cNvPr id="8" name="Imagen 7">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272065" y="326731"/>
          <a:ext cx="2095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61</xdr:col>
      <xdr:colOff>425903</xdr:colOff>
      <xdr:row>2</xdr:row>
      <xdr:rowOff>35378</xdr:rowOff>
    </xdr:from>
    <xdr:to>
      <xdr:col>61</xdr:col>
      <xdr:colOff>616403</xdr:colOff>
      <xdr:row>2</xdr:row>
      <xdr:rowOff>216353</xdr:rowOff>
    </xdr:to>
    <xdr:pic>
      <xdr:nvPicPr>
        <xdr:cNvPr id="9" name="Imagen 8">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812028" y="625928"/>
          <a:ext cx="1905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25</xdr:col>
          <xdr:colOff>220980</xdr:colOff>
          <xdr:row>0</xdr:row>
          <xdr:rowOff>190500</xdr:rowOff>
        </xdr:from>
        <xdr:to>
          <xdr:col>26</xdr:col>
          <xdr:colOff>449580</xdr:colOff>
          <xdr:row>2</xdr:row>
          <xdr:rowOff>259080</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00000000-0008-0000-0E00-0000012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000" b="0" i="0" u="none" strike="noStrike" baseline="0">
                  <a:solidFill>
                    <a:srgbClr val="000000"/>
                  </a:solidFill>
                  <a:latin typeface="Arial"/>
                  <a:cs typeface="Arial"/>
                </a:rPr>
                <a:t>Ocultar Casillas de Diseño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640080</xdr:colOff>
          <xdr:row>0</xdr:row>
          <xdr:rowOff>190500</xdr:rowOff>
        </xdr:from>
        <xdr:to>
          <xdr:col>28</xdr:col>
          <xdr:colOff>0</xdr:colOff>
          <xdr:row>2</xdr:row>
          <xdr:rowOff>259080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E00-0000022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000" b="0" i="0" u="none" strike="noStrike" baseline="0">
                  <a:solidFill>
                    <a:srgbClr val="000000"/>
                  </a:solidFill>
                  <a:latin typeface="Arial"/>
                  <a:cs typeface="Arial"/>
                </a:rPr>
                <a:t>Mostrar Casillas de Diseño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92</xdr:col>
          <xdr:colOff>541020</xdr:colOff>
          <xdr:row>5</xdr:row>
          <xdr:rowOff>0</xdr:rowOff>
        </xdr:from>
        <xdr:to>
          <xdr:col>95</xdr:col>
          <xdr:colOff>114300</xdr:colOff>
          <xdr:row>9</xdr:row>
          <xdr:rowOff>220980</xdr:rowOff>
        </xdr:to>
        <xdr:sp macro="" textlink="">
          <xdr:nvSpPr>
            <xdr:cNvPr id="140291" name="Button 3" hidden="1">
              <a:extLst>
                <a:ext uri="{63B3BB69-23CF-44E3-9099-C40C66FF867C}">
                  <a14:compatExt spid="_x0000_s140291"/>
                </a:ext>
                <a:ext uri="{FF2B5EF4-FFF2-40B4-BE49-F238E27FC236}">
                  <a16:creationId xmlns:a16="http://schemas.microsoft.com/office/drawing/2014/main" id="{00000000-0008-0000-0E00-0000032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000" b="0" i="0" u="none" strike="noStrike" baseline="0">
                  <a:solidFill>
                    <a:srgbClr val="000000"/>
                  </a:solidFill>
                  <a:latin typeface="Arial"/>
                  <a:cs typeface="Arial"/>
                </a:rPr>
                <a:t>PARA LA SUMA TOTAL DE LOS CABLES,</a:t>
              </a:r>
            </a:p>
            <a:p>
              <a:pPr algn="ctr" rtl="0">
                <a:defRPr sz="1000"/>
              </a:pPr>
              <a:r>
                <a:rPr lang="es-CO" sz="1000" b="0" i="0" u="none" strike="noStrike" baseline="0">
                  <a:solidFill>
                    <a:srgbClr val="000000"/>
                  </a:solidFill>
                  <a:latin typeface="Arial"/>
                  <a:cs typeface="Arial"/>
                </a:rPr>
                <a:t> </a:t>
              </a:r>
              <a:r>
                <a:rPr lang="es-CO" sz="1000" b="1" i="1" u="sng" strike="noStrike" baseline="0">
                  <a:solidFill>
                    <a:srgbClr val="000000"/>
                  </a:solidFill>
                  <a:latin typeface="Arial"/>
                  <a:cs typeface="Arial"/>
                </a:rPr>
                <a:t>NO TENER EN CUENTA</a:t>
              </a:r>
              <a:r>
                <a:rPr lang="es-CO" sz="1000" b="0" i="0" u="none" strike="noStrike" baseline="0">
                  <a:solidFill>
                    <a:srgbClr val="000000"/>
                  </a:solidFill>
                  <a:latin typeface="Arial"/>
                  <a:cs typeface="Arial"/>
                </a:rPr>
                <a:t> </a:t>
              </a:r>
            </a:p>
            <a:p>
              <a:pPr algn="ctr" rtl="0">
                <a:defRPr sz="1000"/>
              </a:pPr>
              <a:r>
                <a:rPr lang="es-CO" sz="1000" b="0" i="0" u="none" strike="noStrike" baseline="0">
                  <a:solidFill>
                    <a:srgbClr val="000000"/>
                  </a:solidFill>
                  <a:latin typeface="Arial"/>
                  <a:cs typeface="Arial"/>
                </a:rPr>
                <a:t>LOS CABLES EN ALUMINIO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92</xdr:col>
          <xdr:colOff>563880</xdr:colOff>
          <xdr:row>11</xdr:row>
          <xdr:rowOff>38100</xdr:rowOff>
        </xdr:from>
        <xdr:to>
          <xdr:col>95</xdr:col>
          <xdr:colOff>121920</xdr:colOff>
          <xdr:row>15</xdr:row>
          <xdr:rowOff>106680</xdr:rowOff>
        </xdr:to>
        <xdr:sp macro="" textlink="">
          <xdr:nvSpPr>
            <xdr:cNvPr id="140292" name="Button 4" hidden="1">
              <a:extLst>
                <a:ext uri="{63B3BB69-23CF-44E3-9099-C40C66FF867C}">
                  <a14:compatExt spid="_x0000_s140292"/>
                </a:ext>
                <a:ext uri="{FF2B5EF4-FFF2-40B4-BE49-F238E27FC236}">
                  <a16:creationId xmlns:a16="http://schemas.microsoft.com/office/drawing/2014/main" id="{00000000-0008-0000-0E00-0000042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000" b="0" i="0" u="none" strike="noStrike" baseline="0">
                  <a:solidFill>
                    <a:srgbClr val="000000"/>
                  </a:solidFill>
                  <a:latin typeface="Arial"/>
                  <a:cs typeface="Arial"/>
                </a:rPr>
                <a:t>PARA LA SUMA TOTAL DE LOS CABLES, </a:t>
              </a:r>
            </a:p>
            <a:p>
              <a:pPr algn="ctr" rtl="0">
                <a:defRPr sz="1000"/>
              </a:pPr>
              <a:r>
                <a:rPr lang="es-CO" sz="1000" b="1" i="1" u="sng" strike="noStrike" baseline="0">
                  <a:solidFill>
                    <a:srgbClr val="000000"/>
                  </a:solidFill>
                  <a:latin typeface="Arial"/>
                  <a:cs typeface="Arial"/>
                </a:rPr>
                <a:t>INCLUIR</a:t>
              </a:r>
              <a:r>
                <a:rPr lang="es-CO" sz="1000" b="0" i="0" u="none" strike="noStrike" baseline="0">
                  <a:solidFill>
                    <a:srgbClr val="000000"/>
                  </a:solidFill>
                  <a:latin typeface="Arial"/>
                  <a:cs typeface="Arial"/>
                </a:rPr>
                <a:t> </a:t>
              </a:r>
            </a:p>
            <a:p>
              <a:pPr algn="ctr" rtl="0">
                <a:defRPr sz="1000"/>
              </a:pPr>
              <a:r>
                <a:rPr lang="es-CO" sz="1000" b="0" i="0" u="none" strike="noStrike" baseline="0">
                  <a:solidFill>
                    <a:srgbClr val="000000"/>
                  </a:solidFill>
                  <a:latin typeface="Arial"/>
                  <a:cs typeface="Arial"/>
                </a:rPr>
                <a:t>LOS CABLES EN ALUMINIO</a:t>
              </a:r>
            </a:p>
          </xdr:txBody>
        </xdr:sp>
        <xdr:clientData fPrintsWithSheet="0"/>
      </xdr:twoCellAnchor>
    </mc:Choice>
    <mc:Fallback/>
  </mc:AlternateContent>
  <xdr:twoCellAnchor>
    <xdr:from>
      <xdr:col>2</xdr:col>
      <xdr:colOff>91440</xdr:colOff>
      <xdr:row>0</xdr:row>
      <xdr:rowOff>76200</xdr:rowOff>
    </xdr:from>
    <xdr:to>
      <xdr:col>4</xdr:col>
      <xdr:colOff>134721</xdr:colOff>
      <xdr:row>5</xdr:row>
      <xdr:rowOff>234099</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756397" y="76200"/>
          <a:ext cx="2747485" cy="1616569"/>
          <a:chOff x="135172" y="171450"/>
          <a:chExt cx="1757238" cy="988670"/>
        </a:xfrm>
      </xdr:grpSpPr>
      <xdr:pic>
        <xdr:nvPicPr>
          <xdr:cNvPr id="3" name="Picture 1" descr="logoword">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95034" y="171450"/>
            <a:ext cx="1249488" cy="641439"/>
          </a:xfrm>
          <a:prstGeom prst="rect">
            <a:avLst/>
          </a:prstGeom>
          <a:noFill/>
          <a:ln w="9525">
            <a:noFill/>
            <a:miter lim="800000"/>
            <a:headEnd/>
            <a:tailEnd/>
          </a:ln>
        </xdr:spPr>
      </xdr:pic>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35172" y="811585"/>
            <a:ext cx="1757238" cy="348535"/>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114301</xdr:colOff>
      <xdr:row>0</xdr:row>
      <xdr:rowOff>182881</xdr:rowOff>
    </xdr:from>
    <xdr:to>
      <xdr:col>7</xdr:col>
      <xdr:colOff>68581</xdr:colOff>
      <xdr:row>4</xdr:row>
      <xdr:rowOff>144781</xdr:rowOff>
    </xdr:to>
    <xdr:grpSp>
      <xdr:nvGrpSpPr>
        <xdr:cNvPr id="2" name="Grupo 1">
          <a:extLst>
            <a:ext uri="{FF2B5EF4-FFF2-40B4-BE49-F238E27FC236}">
              <a16:creationId xmlns:a16="http://schemas.microsoft.com/office/drawing/2014/main" id="{00000000-0008-0000-0F00-000002000000}"/>
            </a:ext>
          </a:extLst>
        </xdr:cNvPr>
        <xdr:cNvGrpSpPr/>
      </xdr:nvGrpSpPr>
      <xdr:grpSpPr>
        <a:xfrm>
          <a:off x="114301" y="180976"/>
          <a:ext cx="1685925" cy="971550"/>
          <a:chOff x="135172" y="171450"/>
          <a:chExt cx="1757238" cy="988670"/>
        </a:xfrm>
      </xdr:grpSpPr>
      <xdr:pic>
        <xdr:nvPicPr>
          <xdr:cNvPr id="3" name="Picture 1" descr="logoword">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95034" y="171450"/>
            <a:ext cx="1249488" cy="641439"/>
          </a:xfrm>
          <a:prstGeom prst="rect">
            <a:avLst/>
          </a:prstGeom>
          <a:noFill/>
          <a:ln w="9525">
            <a:noFill/>
            <a:miter lim="800000"/>
            <a:headEnd/>
            <a:tailEnd/>
          </a:ln>
        </xdr:spPr>
      </xdr:pic>
      <xdr:pic>
        <xdr:nvPicPr>
          <xdr:cNvPr id="4" name="Imagen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35172" y="811585"/>
            <a:ext cx="1757238" cy="348535"/>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21590</xdr:colOff>
      <xdr:row>2</xdr:row>
      <xdr:rowOff>175838</xdr:rowOff>
    </xdr:from>
    <xdr:to>
      <xdr:col>3</xdr:col>
      <xdr:colOff>917869</xdr:colOff>
      <xdr:row>5</xdr:row>
      <xdr:rowOff>117842</xdr:rowOff>
    </xdr:to>
    <xdr:pic>
      <xdr:nvPicPr>
        <xdr:cNvPr id="9" name="Imagen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2507" y="683838"/>
          <a:ext cx="1856399" cy="502921"/>
        </a:xfrm>
        <a:prstGeom prst="rect">
          <a:avLst/>
        </a:prstGeom>
      </xdr:spPr>
    </xdr:pic>
    <xdr:clientData/>
  </xdr:twoCellAnchor>
  <xdr:twoCellAnchor editAs="oneCell">
    <xdr:from>
      <xdr:col>2</xdr:col>
      <xdr:colOff>447675</xdr:colOff>
      <xdr:row>1</xdr:row>
      <xdr:rowOff>66675</xdr:rowOff>
    </xdr:from>
    <xdr:to>
      <xdr:col>3</xdr:col>
      <xdr:colOff>1162979</xdr:colOff>
      <xdr:row>2</xdr:row>
      <xdr:rowOff>251037</xdr:rowOff>
    </xdr:to>
    <xdr:pic>
      <xdr:nvPicPr>
        <xdr:cNvPr id="11" name="Imagen 10">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0125" y="295275"/>
          <a:ext cx="1694898" cy="530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160244</xdr:colOff>
      <xdr:row>49</xdr:row>
      <xdr:rowOff>156882</xdr:rowOff>
    </xdr:from>
    <xdr:to>
      <xdr:col>8</xdr:col>
      <xdr:colOff>287133</xdr:colOff>
      <xdr:row>50</xdr:row>
      <xdr:rowOff>396644</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1"/>
        <a:stretch>
          <a:fillRect/>
        </a:stretch>
      </xdr:blipFill>
      <xdr:spPr>
        <a:xfrm>
          <a:off x="646019" y="11634507"/>
          <a:ext cx="1554369" cy="374714"/>
        </a:xfrm>
        <a:prstGeom prst="rect">
          <a:avLst/>
        </a:prstGeom>
      </xdr:spPr>
    </xdr:pic>
    <xdr:clientData/>
  </xdr:twoCellAnchor>
  <xdr:twoCellAnchor editAs="oneCell">
    <xdr:from>
      <xdr:col>13</xdr:col>
      <xdr:colOff>158969</xdr:colOff>
      <xdr:row>48</xdr:row>
      <xdr:rowOff>227552</xdr:rowOff>
    </xdr:from>
    <xdr:to>
      <xdr:col>28</xdr:col>
      <xdr:colOff>19019</xdr:colOff>
      <xdr:row>50</xdr:row>
      <xdr:rowOff>476667</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2"/>
        <a:stretch>
          <a:fillRect/>
        </a:stretch>
      </xdr:blipFill>
      <xdr:spPr>
        <a:xfrm>
          <a:off x="4258003" y="9837949"/>
          <a:ext cx="3611981" cy="556805"/>
        </a:xfrm>
        <a:prstGeom prst="rect">
          <a:avLst/>
        </a:prstGeom>
      </xdr:spPr>
    </xdr:pic>
    <xdr:clientData/>
  </xdr:twoCellAnchor>
  <xdr:twoCellAnchor editAs="oneCell">
    <xdr:from>
      <xdr:col>3</xdr:col>
      <xdr:colOff>101340</xdr:colOff>
      <xdr:row>51</xdr:row>
      <xdr:rowOff>715</xdr:rowOff>
    </xdr:from>
    <xdr:to>
      <xdr:col>23</xdr:col>
      <xdr:colOff>93381</xdr:colOff>
      <xdr:row>51</xdr:row>
      <xdr:rowOff>307528</xdr:rowOff>
    </xdr:to>
    <xdr:pic>
      <xdr:nvPicPr>
        <xdr:cNvPr id="8" name="Imagen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a:stretch>
          <a:fillRect/>
        </a:stretch>
      </xdr:blipFill>
      <xdr:spPr>
        <a:xfrm>
          <a:off x="869909" y="10478215"/>
          <a:ext cx="5833953" cy="306813"/>
        </a:xfrm>
        <a:prstGeom prst="rect">
          <a:avLst/>
        </a:prstGeom>
      </xdr:spPr>
    </xdr:pic>
    <xdr:clientData/>
  </xdr:twoCellAnchor>
  <xdr:twoCellAnchor editAs="oneCell">
    <xdr:from>
      <xdr:col>2</xdr:col>
      <xdr:colOff>76200</xdr:colOff>
      <xdr:row>2</xdr:row>
      <xdr:rowOff>84186</xdr:rowOff>
    </xdr:from>
    <xdr:to>
      <xdr:col>8</xdr:col>
      <xdr:colOff>474456</xdr:colOff>
      <xdr:row>4</xdr:row>
      <xdr:rowOff>21957</xdr:rowOff>
    </xdr:to>
    <xdr:pic>
      <xdr:nvPicPr>
        <xdr:cNvPr id="10" name="Imagen 9">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2450" y="922386"/>
          <a:ext cx="1821898" cy="525781"/>
        </a:xfrm>
        <a:prstGeom prst="rect">
          <a:avLst/>
        </a:prstGeom>
      </xdr:spPr>
    </xdr:pic>
    <xdr:clientData/>
  </xdr:twoCellAnchor>
  <xdr:twoCellAnchor editAs="oneCell">
    <xdr:from>
      <xdr:col>3</xdr:col>
      <xdr:colOff>180975</xdr:colOff>
      <xdr:row>1</xdr:row>
      <xdr:rowOff>28575</xdr:rowOff>
    </xdr:from>
    <xdr:to>
      <xdr:col>8</xdr:col>
      <xdr:colOff>607806</xdr:colOff>
      <xdr:row>2</xdr:row>
      <xdr:rowOff>173990</xdr:rowOff>
    </xdr:to>
    <xdr:pic>
      <xdr:nvPicPr>
        <xdr:cNvPr id="2" name="Imagen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04875" y="485775"/>
          <a:ext cx="1605998"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130810</xdr:colOff>
      <xdr:row>0</xdr:row>
      <xdr:rowOff>0</xdr:rowOff>
    </xdr:from>
    <xdr:to>
      <xdr:col>2</xdr:col>
      <xdr:colOff>435453</xdr:colOff>
      <xdr:row>0</xdr:row>
      <xdr:rowOff>0</xdr:rowOff>
    </xdr:to>
    <xdr:grpSp>
      <xdr:nvGrpSpPr>
        <xdr:cNvPr id="2" name="Grupo 1">
          <a:extLst>
            <a:ext uri="{FF2B5EF4-FFF2-40B4-BE49-F238E27FC236}">
              <a16:creationId xmlns:a16="http://schemas.microsoft.com/office/drawing/2014/main" id="{00000000-0008-0000-1700-000002000000}"/>
            </a:ext>
          </a:extLst>
        </xdr:cNvPr>
        <xdr:cNvGrpSpPr/>
      </xdr:nvGrpSpPr>
      <xdr:grpSpPr>
        <a:xfrm>
          <a:off x="134620" y="0"/>
          <a:ext cx="2704943" cy="0"/>
          <a:chOff x="135172" y="171450"/>
          <a:chExt cx="1757238" cy="988670"/>
        </a:xfrm>
      </xdr:grpSpPr>
      <xdr:pic>
        <xdr:nvPicPr>
          <xdr:cNvPr id="3" name="Picture 1" descr="logoword">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95034" y="171450"/>
            <a:ext cx="1249488" cy="641439"/>
          </a:xfrm>
          <a:prstGeom prst="rect">
            <a:avLst/>
          </a:prstGeom>
          <a:noFill/>
          <a:ln w="9525">
            <a:noFill/>
            <a:miter lim="800000"/>
            <a:headEnd/>
            <a:tailEnd/>
          </a:ln>
        </xdr:spPr>
      </xdr:pic>
      <xdr:pic>
        <xdr:nvPicPr>
          <xdr:cNvPr id="4" name="Imagen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35172" y="811585"/>
            <a:ext cx="1757238" cy="348535"/>
          </a:xfrm>
          <a:prstGeom prst="rect">
            <a:avLst/>
          </a:prstGeom>
        </xdr:spPr>
      </xdr:pic>
    </xdr:grpSp>
    <xdr:clientData/>
  </xdr:twoCellAnchor>
  <xdr:twoCellAnchor editAs="oneCell">
    <xdr:from>
      <xdr:col>10</xdr:col>
      <xdr:colOff>414619</xdr:colOff>
      <xdr:row>57</xdr:row>
      <xdr:rowOff>56029</xdr:rowOff>
    </xdr:from>
    <xdr:to>
      <xdr:col>17</xdr:col>
      <xdr:colOff>136153</xdr:colOff>
      <xdr:row>68</xdr:row>
      <xdr:rowOff>19601</xdr:rowOff>
    </xdr:to>
    <xdr:pic>
      <xdr:nvPicPr>
        <xdr:cNvPr id="6" name="Imagen 5">
          <a:extLst>
            <a:ext uri="{FF2B5EF4-FFF2-40B4-BE49-F238E27FC236}">
              <a16:creationId xmlns:a16="http://schemas.microsoft.com/office/drawing/2014/main" id="{90F6B501-E9F2-AC1A-2C31-C3C948B21396}"/>
            </a:ext>
          </a:extLst>
        </xdr:cNvPr>
        <xdr:cNvPicPr>
          <a:picLocks noChangeAspect="1"/>
        </xdr:cNvPicPr>
      </xdr:nvPicPr>
      <xdr:blipFill>
        <a:blip xmlns:r="http://schemas.openxmlformats.org/officeDocument/2006/relationships" r:embed="rId3"/>
        <a:stretch>
          <a:fillRect/>
        </a:stretch>
      </xdr:blipFill>
      <xdr:spPr>
        <a:xfrm>
          <a:off x="9614648" y="12472147"/>
          <a:ext cx="4829736" cy="205907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8</xdr:col>
      <xdr:colOff>257175</xdr:colOff>
      <xdr:row>0</xdr:row>
      <xdr:rowOff>66675</xdr:rowOff>
    </xdr:from>
    <xdr:to>
      <xdr:col>14</xdr:col>
      <xdr:colOff>371475</xdr:colOff>
      <xdr:row>14</xdr:row>
      <xdr:rowOff>123825</xdr:rowOff>
    </xdr:to>
    <xdr:pic>
      <xdr:nvPicPr>
        <xdr:cNvPr id="2" name="Imagen 15">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181975" y="66675"/>
          <a:ext cx="4869180" cy="2983230"/>
        </a:xfrm>
        <a:prstGeom prst="rect">
          <a:avLst/>
        </a:prstGeom>
        <a:noFill/>
        <a:ln w="9525">
          <a:noFill/>
          <a:miter lim="800000"/>
          <a:headEnd/>
          <a:tailEnd/>
        </a:ln>
      </xdr:spPr>
    </xdr:pic>
    <xdr:clientData/>
  </xdr:twoCellAnchor>
  <xdr:twoCellAnchor>
    <xdr:from>
      <xdr:col>6</xdr:col>
      <xdr:colOff>323850</xdr:colOff>
      <xdr:row>15</xdr:row>
      <xdr:rowOff>9525</xdr:rowOff>
    </xdr:from>
    <xdr:to>
      <xdr:col>14</xdr:col>
      <xdr:colOff>63500</xdr:colOff>
      <xdr:row>46</xdr:row>
      <xdr:rowOff>58549</xdr:rowOff>
    </xdr:to>
    <xdr:pic>
      <xdr:nvPicPr>
        <xdr:cNvPr id="3" name="Imagen 16">
          <a:extLst>
            <a:ext uri="{FF2B5EF4-FFF2-40B4-BE49-F238E27FC236}">
              <a16:creationId xmlns:a16="http://schemas.microsoft.com/office/drawing/2014/main" id="{00000000-0008-0000-27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3690" y="3118485"/>
          <a:ext cx="6079490" cy="5718304"/>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349250</xdr:colOff>
      <xdr:row>45</xdr:row>
      <xdr:rowOff>34925</xdr:rowOff>
    </xdr:from>
    <xdr:to>
      <xdr:col>21</xdr:col>
      <xdr:colOff>627911</xdr:colOff>
      <xdr:row>93</xdr:row>
      <xdr:rowOff>30608</xdr:rowOff>
    </xdr:to>
    <xdr:pic>
      <xdr:nvPicPr>
        <xdr:cNvPr id="2" name="Imagen 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1"/>
        <a:stretch>
          <a:fillRect/>
        </a:stretch>
      </xdr:blipFill>
      <xdr:spPr>
        <a:xfrm>
          <a:off x="11579225" y="8178800"/>
          <a:ext cx="6222261" cy="868248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10</xdr:col>
      <xdr:colOff>573295</xdr:colOff>
      <xdr:row>14</xdr:row>
      <xdr:rowOff>66260</xdr:rowOff>
    </xdr:from>
    <xdr:to>
      <xdr:col>15</xdr:col>
      <xdr:colOff>592888</xdr:colOff>
      <xdr:row>30</xdr:row>
      <xdr:rowOff>92499</xdr:rowOff>
    </xdr:to>
    <xdr:pic>
      <xdr:nvPicPr>
        <xdr:cNvPr id="2" name="Imagen 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1"/>
        <a:stretch>
          <a:fillRect/>
        </a:stretch>
      </xdr:blipFill>
      <xdr:spPr>
        <a:xfrm>
          <a:off x="6316870" y="3390485"/>
          <a:ext cx="4063908" cy="3193619"/>
        </a:xfrm>
        <a:prstGeom prst="rect">
          <a:avLst/>
        </a:prstGeom>
      </xdr:spPr>
    </xdr:pic>
    <xdr:clientData/>
  </xdr:twoCellAnchor>
  <xdr:twoCellAnchor editAs="oneCell">
    <xdr:from>
      <xdr:col>4</xdr:col>
      <xdr:colOff>196851</xdr:colOff>
      <xdr:row>14</xdr:row>
      <xdr:rowOff>39756</xdr:rowOff>
    </xdr:from>
    <xdr:to>
      <xdr:col>10</xdr:col>
      <xdr:colOff>212018</xdr:colOff>
      <xdr:row>36</xdr:row>
      <xdr:rowOff>169676</xdr:rowOff>
    </xdr:to>
    <xdr:pic>
      <xdr:nvPicPr>
        <xdr:cNvPr id="5" name="Imagen 4">
          <a:extLst>
            <a:ext uri="{FF2B5EF4-FFF2-40B4-BE49-F238E27FC236}">
              <a16:creationId xmlns:a16="http://schemas.microsoft.com/office/drawing/2014/main" id="{00000000-0008-0000-2900-000005000000}"/>
            </a:ext>
          </a:extLst>
        </xdr:cNvPr>
        <xdr:cNvPicPr>
          <a:picLocks noChangeAspect="1"/>
        </xdr:cNvPicPr>
      </xdr:nvPicPr>
      <xdr:blipFill>
        <a:blip xmlns:r="http://schemas.openxmlformats.org/officeDocument/2006/relationships" r:embed="rId2"/>
        <a:stretch>
          <a:fillRect/>
        </a:stretch>
      </xdr:blipFill>
      <xdr:spPr>
        <a:xfrm>
          <a:off x="958851" y="3363981"/>
          <a:ext cx="4992932" cy="4419345"/>
        </a:xfrm>
        <a:prstGeom prst="rect">
          <a:avLst/>
        </a:prstGeom>
      </xdr:spPr>
    </xdr:pic>
    <xdr:clientData/>
  </xdr:twoCellAnchor>
  <xdr:twoCellAnchor editAs="oneCell">
    <xdr:from>
      <xdr:col>15</xdr:col>
      <xdr:colOff>448364</xdr:colOff>
      <xdr:row>17</xdr:row>
      <xdr:rowOff>154370</xdr:rowOff>
    </xdr:from>
    <xdr:to>
      <xdr:col>22</xdr:col>
      <xdr:colOff>16132</xdr:colOff>
      <xdr:row>41</xdr:row>
      <xdr:rowOff>150191</xdr:rowOff>
    </xdr:to>
    <xdr:pic>
      <xdr:nvPicPr>
        <xdr:cNvPr id="6" name="Imagen 5">
          <a:extLst>
            <a:ext uri="{FF2B5EF4-FFF2-40B4-BE49-F238E27FC236}">
              <a16:creationId xmlns:a16="http://schemas.microsoft.com/office/drawing/2014/main" id="{00000000-0008-0000-2900-000006000000}"/>
            </a:ext>
          </a:extLst>
        </xdr:cNvPr>
        <xdr:cNvPicPr>
          <a:picLocks noChangeAspect="1"/>
        </xdr:cNvPicPr>
      </xdr:nvPicPr>
      <xdr:blipFill>
        <a:blip xmlns:r="http://schemas.openxmlformats.org/officeDocument/2006/relationships" r:embed="rId3"/>
        <a:stretch>
          <a:fillRect/>
        </a:stretch>
      </xdr:blipFill>
      <xdr:spPr>
        <a:xfrm>
          <a:off x="10135289" y="4212020"/>
          <a:ext cx="5141798" cy="4729746"/>
        </a:xfrm>
        <a:prstGeom prst="rect">
          <a:avLst/>
        </a:prstGeom>
      </xdr:spPr>
    </xdr:pic>
    <xdr:clientData/>
  </xdr:twoCellAnchor>
  <xdr:twoCellAnchor editAs="oneCell">
    <xdr:from>
      <xdr:col>23</xdr:col>
      <xdr:colOff>254001</xdr:colOff>
      <xdr:row>29</xdr:row>
      <xdr:rowOff>187325</xdr:rowOff>
    </xdr:from>
    <xdr:to>
      <xdr:col>29</xdr:col>
      <xdr:colOff>739535</xdr:colOff>
      <xdr:row>51</xdr:row>
      <xdr:rowOff>114209</xdr:rowOff>
    </xdr:to>
    <xdr:pic>
      <xdr:nvPicPr>
        <xdr:cNvPr id="3" name="Imagen 2">
          <a:extLst>
            <a:ext uri="{FF2B5EF4-FFF2-40B4-BE49-F238E27FC236}">
              <a16:creationId xmlns:a16="http://schemas.microsoft.com/office/drawing/2014/main" id="{170239BE-EC8C-435C-B1AA-A40C3509BCF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288846" y="6532946"/>
          <a:ext cx="4974896" cy="40850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322489</xdr:colOff>
      <xdr:row>53</xdr:row>
      <xdr:rowOff>133351</xdr:rowOff>
    </xdr:from>
    <xdr:to>
      <xdr:col>30</xdr:col>
      <xdr:colOff>21796</xdr:colOff>
      <xdr:row>76</xdr:row>
      <xdr:rowOff>132492</xdr:rowOff>
    </xdr:to>
    <xdr:pic>
      <xdr:nvPicPr>
        <xdr:cNvPr id="4" name="Imagen 3">
          <a:extLst>
            <a:ext uri="{FF2B5EF4-FFF2-40B4-BE49-F238E27FC236}">
              <a16:creationId xmlns:a16="http://schemas.microsoft.com/office/drawing/2014/main" id="{6F21BF27-8EF1-451F-B434-DBE8CF04D525}"/>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514989" y="10467976"/>
          <a:ext cx="5037117" cy="37900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57983</xdr:colOff>
      <xdr:row>60</xdr:row>
      <xdr:rowOff>11656</xdr:rowOff>
    </xdr:from>
    <xdr:to>
      <xdr:col>15</xdr:col>
      <xdr:colOff>514858</xdr:colOff>
      <xdr:row>80</xdr:row>
      <xdr:rowOff>130887</xdr:rowOff>
    </xdr:to>
    <xdr:pic>
      <xdr:nvPicPr>
        <xdr:cNvPr id="7" name="Imagen 6">
          <a:extLst>
            <a:ext uri="{FF2B5EF4-FFF2-40B4-BE49-F238E27FC236}">
              <a16:creationId xmlns:a16="http://schemas.microsoft.com/office/drawing/2014/main" id="{113B62DC-4A11-EB37-B41B-33F064A987C2}"/>
            </a:ext>
          </a:extLst>
        </xdr:cNvPr>
        <xdr:cNvPicPr>
          <a:picLocks noChangeAspect="1"/>
        </xdr:cNvPicPr>
      </xdr:nvPicPr>
      <xdr:blipFill>
        <a:blip xmlns:r="http://schemas.openxmlformats.org/officeDocument/2006/relationships" r:embed="rId6"/>
        <a:stretch>
          <a:fillRect/>
        </a:stretch>
      </xdr:blipFill>
      <xdr:spPr>
        <a:xfrm rot="5400000">
          <a:off x="6347122" y="11495046"/>
          <a:ext cx="3249258" cy="4442359"/>
        </a:xfrm>
        <a:prstGeom prst="rect">
          <a:avLst/>
        </a:prstGeom>
      </xdr:spPr>
    </xdr:pic>
    <xdr:clientData/>
  </xdr:twoCellAnchor>
  <xdr:twoCellAnchor editAs="oneCell">
    <xdr:from>
      <xdr:col>15</xdr:col>
      <xdr:colOff>43068</xdr:colOff>
      <xdr:row>84</xdr:row>
      <xdr:rowOff>66837</xdr:rowOff>
    </xdr:from>
    <xdr:to>
      <xdr:col>23</xdr:col>
      <xdr:colOff>285397</xdr:colOff>
      <xdr:row>115</xdr:row>
      <xdr:rowOff>16017</xdr:rowOff>
    </xdr:to>
    <xdr:pic>
      <xdr:nvPicPr>
        <xdr:cNvPr id="8" name="Imagen 7">
          <a:extLst>
            <a:ext uri="{FF2B5EF4-FFF2-40B4-BE49-F238E27FC236}">
              <a16:creationId xmlns:a16="http://schemas.microsoft.com/office/drawing/2014/main" id="{01F616C1-0FC1-9672-45C9-E9C48697CB2F}"/>
            </a:ext>
          </a:extLst>
        </xdr:cNvPr>
        <xdr:cNvPicPr>
          <a:picLocks noChangeAspect="1"/>
        </xdr:cNvPicPr>
      </xdr:nvPicPr>
      <xdr:blipFill>
        <a:blip xmlns:r="http://schemas.openxmlformats.org/officeDocument/2006/relationships" r:embed="rId7"/>
        <a:stretch>
          <a:fillRect/>
        </a:stretch>
      </xdr:blipFill>
      <xdr:spPr>
        <a:xfrm rot="5400000">
          <a:off x="10551817" y="15165684"/>
          <a:ext cx="4938521" cy="6583635"/>
        </a:xfrm>
        <a:prstGeom prst="rect">
          <a:avLst/>
        </a:prstGeom>
      </xdr:spPr>
    </xdr:pic>
    <xdr:clientData/>
  </xdr:twoCellAnchor>
  <xdr:twoCellAnchor editAs="oneCell">
    <xdr:from>
      <xdr:col>16</xdr:col>
      <xdr:colOff>190500</xdr:colOff>
      <xdr:row>60</xdr:row>
      <xdr:rowOff>11205</xdr:rowOff>
    </xdr:from>
    <xdr:to>
      <xdr:col>21</xdr:col>
      <xdr:colOff>475772</xdr:colOff>
      <xdr:row>80</xdr:row>
      <xdr:rowOff>132342</xdr:rowOff>
    </xdr:to>
    <xdr:pic>
      <xdr:nvPicPr>
        <xdr:cNvPr id="9" name="Imagen 8">
          <a:extLst>
            <a:ext uri="{FF2B5EF4-FFF2-40B4-BE49-F238E27FC236}">
              <a16:creationId xmlns:a16="http://schemas.microsoft.com/office/drawing/2014/main" id="{D555A9F8-673F-7B73-6D43-D0F900D2E4C3}"/>
            </a:ext>
          </a:extLst>
        </xdr:cNvPr>
        <xdr:cNvPicPr>
          <a:picLocks noChangeAspect="1"/>
        </xdr:cNvPicPr>
      </xdr:nvPicPr>
      <xdr:blipFill>
        <a:blip xmlns:r="http://schemas.openxmlformats.org/officeDocument/2006/relationships" r:embed="rId8"/>
        <a:stretch>
          <a:fillRect/>
        </a:stretch>
      </xdr:blipFill>
      <xdr:spPr>
        <a:xfrm>
          <a:off x="10634382" y="12091146"/>
          <a:ext cx="4351327" cy="32721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11</xdr:col>
      <xdr:colOff>368300</xdr:colOff>
      <xdr:row>1</xdr:row>
      <xdr:rowOff>6350</xdr:rowOff>
    </xdr:from>
    <xdr:to>
      <xdr:col>20</xdr:col>
      <xdr:colOff>103908</xdr:colOff>
      <xdr:row>38</xdr:row>
      <xdr:rowOff>94490</xdr:rowOff>
    </xdr:to>
    <xdr:pic>
      <xdr:nvPicPr>
        <xdr:cNvPr id="2" name="Imagen 1">
          <a:extLst>
            <a:ext uri="{FF2B5EF4-FFF2-40B4-BE49-F238E27FC236}">
              <a16:creationId xmlns:a16="http://schemas.microsoft.com/office/drawing/2014/main" id="{00000000-0008-0000-3C00-000002000000}"/>
            </a:ext>
          </a:extLst>
        </xdr:cNvPr>
        <xdr:cNvPicPr>
          <a:picLocks noChangeAspect="1"/>
        </xdr:cNvPicPr>
      </xdr:nvPicPr>
      <xdr:blipFill>
        <a:blip xmlns:r="http://schemas.openxmlformats.org/officeDocument/2006/relationships" r:embed="rId1"/>
        <a:stretch>
          <a:fillRect/>
        </a:stretch>
      </xdr:blipFill>
      <xdr:spPr>
        <a:xfrm>
          <a:off x="10179050" y="406400"/>
          <a:ext cx="6939683" cy="6079365"/>
        </a:xfrm>
        <a:prstGeom prst="rect">
          <a:avLst/>
        </a:prstGeom>
      </xdr:spPr>
    </xdr:pic>
    <xdr:clientData/>
  </xdr:twoCellAnchor>
  <xdr:twoCellAnchor editAs="oneCell">
    <xdr:from>
      <xdr:col>2</xdr:col>
      <xdr:colOff>114300</xdr:colOff>
      <xdr:row>0</xdr:row>
      <xdr:rowOff>15875</xdr:rowOff>
    </xdr:from>
    <xdr:to>
      <xdr:col>7</xdr:col>
      <xdr:colOff>558800</xdr:colOff>
      <xdr:row>21</xdr:row>
      <xdr:rowOff>97961</xdr:rowOff>
    </xdr:to>
    <xdr:pic>
      <xdr:nvPicPr>
        <xdr:cNvPr id="3" name="Imagen 2">
          <a:extLst>
            <a:ext uri="{FF2B5EF4-FFF2-40B4-BE49-F238E27FC236}">
              <a16:creationId xmlns:a16="http://schemas.microsoft.com/office/drawing/2014/main" id="{00000000-0008-0000-3C00-000003000000}"/>
            </a:ext>
          </a:extLst>
        </xdr:cNvPr>
        <xdr:cNvPicPr>
          <a:picLocks noChangeAspect="1"/>
        </xdr:cNvPicPr>
      </xdr:nvPicPr>
      <xdr:blipFill rotWithShape="1">
        <a:blip xmlns:r="http://schemas.openxmlformats.org/officeDocument/2006/relationships" r:embed="rId2"/>
        <a:srcRect l="3151" r="810"/>
        <a:stretch/>
      </xdr:blipFill>
      <xdr:spPr>
        <a:xfrm>
          <a:off x="2724150" y="15875"/>
          <a:ext cx="4445000" cy="372063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eringtec.sharepoint.com/WINNT/perfiles/CO04277609/Configuraci&#243;n%20local/Archivos%20temporales%20de%20Internet/OLK5C/Aplicaci&#243;n%20Trafos.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ABLE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seringtec.sharepoint.com/Users/Carolina/Downloads/Subestaci&#243;n%20en%20Poste.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seringtec.sharepoint.com/Users/Lady%20Guerrero/Documents/LADY%20GUERRERO/trabajo/THEVENIN/GRUPO%20ING/PROVISIONAL%20DE%20OBRA/Coordinaci&#243;n%20Subestaci&#243;nes%20en%20Post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seringtec.sharepoint.com/Users/carmo/Documents/DISCO%20DURO%20TOSHIBA/TRABAJO2016/trabajo/RAFAEL%20ROZO/MEMORIAS%20DE%20CALCULO/SPT%20MALLA.xlsx"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TABLA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seringtec.sharepoint.com/Users/Carolina/Downloads/Calculos+electricos+3.7.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MOTORES"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seringtec.sharepoint.com/sites/LocacionesRubialesTelesentinel/Shared%20Documents/10.%20ODS-039%20CAMPO%20DINA%20(NEIVA)/5.%20VERSI&#211;N%20DE%20TRABAJO/SEMILLAS/SER-ECO-739-039-IB-EL-MC-XXX-P.xlsm" TargetMode="External"/><Relationship Id="rId1" Type="http://schemas.openxmlformats.org/officeDocument/2006/relationships/externalLinkPath" Target="https://seringtec.sharepoint.com/sites/LocacionesRubialesTelesentinel/Shared%20Documents/10.%20ODS-039%20CAMPO%20DINA%20(NEIVA)/5.%20VERSI&#211;N%20DE%20TRABAJO/SEMILLAS/SER-ECO-739-039-IB-EL-MC-XXX-P.xlsm"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javier.narvaez.SERINGTEC\Downloads\DNC02208INSLI000001_ListadoInstrumentosDinaT_58_A1.xlsx" TargetMode="External"/><Relationship Id="rId1" Type="http://schemas.openxmlformats.org/officeDocument/2006/relationships/externalLinkPath" Target="DNC02208INSLI000001_ListadoInstrumentosDinaT_58_A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manda Promedio"/>
      <sheetName val="fc"/>
      <sheetName val="Perdidas Nominales Trafos"/>
      <sheetName val="Curva Mensual Residencial"/>
      <sheetName val="Curva Mensual Ind-Com-Ofi"/>
      <sheetName val="C.Carga Consumo Promedio"/>
      <sheetName val="C.Carga Consumo Facturado"/>
      <sheetName val="Histograma Consumo Promedio"/>
      <sheetName val="Histgrama Consumo Facturado"/>
      <sheetName val="C.Carga Ejemplo"/>
      <sheetName val="Resumen"/>
      <sheetName val="Consumo Promedio del Sector"/>
      <sheetName val="Consumo Facturado del Cliente"/>
      <sheetName val="Estudio Económico"/>
      <sheetName val="Transformador"/>
      <sheetName val="Planeamiento"/>
      <sheetName val="Curva de Carga"/>
      <sheetName val="EQ1"/>
      <sheetName val="EQ2"/>
      <sheetName val="EQ3"/>
      <sheetName val="EQ4"/>
      <sheetName val="EQ5"/>
      <sheetName val="EQ6"/>
      <sheetName val="EQ7"/>
      <sheetName val="EQ8"/>
      <sheetName val="EQ9"/>
      <sheetName val="EQ10"/>
      <sheetName val="EQ11"/>
      <sheetName val="EQ12"/>
      <sheetName val="EQ13"/>
      <sheetName val="EQ14"/>
      <sheetName val="EQ15"/>
      <sheetName val="EQ16"/>
      <sheetName val="EQ17"/>
      <sheetName val="EQ18"/>
      <sheetName val="EQ19"/>
      <sheetName val="EQ20"/>
      <sheetName val="EQ21"/>
      <sheetName val="EQ22"/>
      <sheetName val="EQ23"/>
      <sheetName val="EQ24"/>
      <sheetName val="EQ25"/>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BL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ordinación de Protecciones"/>
      <sheetName val="NH Total Clearing"/>
      <sheetName val="Duales Minimum Melting"/>
      <sheetName val="Duales Total Clearing"/>
      <sheetName val="Convencionales Minimum Melting"/>
      <sheetName val="Convencionales Total Clearing"/>
      <sheetName val="Settings OR"/>
      <sheetName val="C1"/>
      <sheetName val="C2"/>
      <sheetName val="C3"/>
      <sheetName val="C4"/>
      <sheetName val="C5"/>
      <sheetName val="C1T"/>
      <sheetName val="C2T"/>
      <sheetName val="C3T"/>
      <sheetName val="C4T"/>
      <sheetName val="C5T"/>
      <sheetName val="U1"/>
      <sheetName val="U2"/>
      <sheetName val="U3"/>
      <sheetName val="U4"/>
      <sheetName val="U1T"/>
      <sheetName val="U2T"/>
      <sheetName val="U3T"/>
      <sheetName val="U4T"/>
      <sheetName val="Listas"/>
    </sheetNames>
    <sheetDataSet>
      <sheetData sheetId="0"/>
      <sheetData sheetId="1">
        <row r="1">
          <cell r="A1">
            <v>25</v>
          </cell>
        </row>
      </sheetData>
      <sheetData sheetId="2">
        <row r="1">
          <cell r="A1">
            <v>0.4</v>
          </cell>
        </row>
      </sheetData>
      <sheetData sheetId="3">
        <row r="1">
          <cell r="A1">
            <v>0.4</v>
          </cell>
        </row>
      </sheetData>
      <sheetData sheetId="4">
        <row r="1">
          <cell r="A1" t="str">
            <v>2 H</v>
          </cell>
        </row>
      </sheetData>
      <sheetData sheetId="5">
        <row r="1">
          <cell r="A1" t="str">
            <v>2 H</v>
          </cell>
        </row>
      </sheetData>
      <sheetData sheetId="6">
        <row r="3">
          <cell r="A3">
            <v>484.8</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A2" t="str">
            <v>1Ø Sumergido en Aceite</v>
          </cell>
          <cell r="B2">
            <v>0</v>
          </cell>
          <cell r="C2">
            <v>13200</v>
          </cell>
          <cell r="G2" t="str">
            <v>RELÉ</v>
          </cell>
          <cell r="H2" t="str">
            <v>C1</v>
          </cell>
        </row>
        <row r="3">
          <cell r="A3" t="str">
            <v>3Ø Sumergido en Aceite</v>
          </cell>
          <cell r="B3">
            <v>0</v>
          </cell>
          <cell r="C3">
            <v>11400</v>
          </cell>
          <cell r="D3">
            <v>0.4</v>
          </cell>
          <cell r="E3" t="str">
            <v>2 H</v>
          </cell>
          <cell r="F3">
            <v>25</v>
          </cell>
          <cell r="G3" t="str">
            <v>RECONECTADOR</v>
          </cell>
          <cell r="H3" t="str">
            <v>C2</v>
          </cell>
        </row>
        <row r="4">
          <cell r="B4">
            <v>15</v>
          </cell>
          <cell r="C4">
            <v>480</v>
          </cell>
          <cell r="D4">
            <v>0.6</v>
          </cell>
          <cell r="E4" t="str">
            <v>3 H</v>
          </cell>
          <cell r="F4">
            <v>50</v>
          </cell>
          <cell r="H4" t="str">
            <v>C3</v>
          </cell>
        </row>
        <row r="5">
          <cell r="B5">
            <v>0</v>
          </cell>
          <cell r="C5">
            <v>380</v>
          </cell>
          <cell r="D5">
            <v>0.7</v>
          </cell>
          <cell r="E5" t="str">
            <v>5 H</v>
          </cell>
          <cell r="F5">
            <v>80</v>
          </cell>
          <cell r="H5" t="str">
            <v>C4</v>
          </cell>
        </row>
        <row r="6">
          <cell r="B6">
            <v>30</v>
          </cell>
          <cell r="C6">
            <v>208</v>
          </cell>
          <cell r="D6">
            <v>1.4</v>
          </cell>
          <cell r="E6" t="str">
            <v>8 H</v>
          </cell>
          <cell r="F6">
            <v>125</v>
          </cell>
          <cell r="H6" t="str">
            <v>C5</v>
          </cell>
        </row>
        <row r="7">
          <cell r="B7">
            <v>0</v>
          </cell>
          <cell r="C7">
            <v>0</v>
          </cell>
          <cell r="D7">
            <v>2.1</v>
          </cell>
          <cell r="E7" t="str">
            <v>10 H</v>
          </cell>
          <cell r="F7">
            <v>200</v>
          </cell>
          <cell r="H7" t="str">
            <v>U1</v>
          </cell>
        </row>
        <row r="8">
          <cell r="B8">
            <v>45</v>
          </cell>
          <cell r="D8">
            <v>3.1</v>
          </cell>
          <cell r="E8" t="str">
            <v>20 H</v>
          </cell>
          <cell r="F8">
            <v>160</v>
          </cell>
          <cell r="H8" t="str">
            <v>U2</v>
          </cell>
        </row>
        <row r="9">
          <cell r="B9">
            <v>0</v>
          </cell>
          <cell r="D9">
            <v>5.2</v>
          </cell>
          <cell r="E9" t="str">
            <v>50 H</v>
          </cell>
          <cell r="F9">
            <v>250</v>
          </cell>
          <cell r="H9" t="str">
            <v>U3</v>
          </cell>
        </row>
        <row r="10">
          <cell r="B10">
            <v>75</v>
          </cell>
          <cell r="E10" t="str">
            <v>25 K</v>
          </cell>
          <cell r="F10">
            <v>400</v>
          </cell>
          <cell r="H10" t="str">
            <v>U4</v>
          </cell>
        </row>
        <row r="11">
          <cell r="B11">
            <v>112.5</v>
          </cell>
          <cell r="E11" t="str">
            <v>30 K</v>
          </cell>
          <cell r="F11">
            <v>500</v>
          </cell>
        </row>
        <row r="12">
          <cell r="B12">
            <v>150</v>
          </cell>
          <cell r="E12" t="str">
            <v>40 K</v>
          </cell>
        </row>
        <row r="13">
          <cell r="B13">
            <v>225</v>
          </cell>
          <cell r="E13" t="str">
            <v>65 K</v>
          </cell>
        </row>
        <row r="14">
          <cell r="E14" t="str">
            <v>100 K</v>
          </cell>
        </row>
        <row r="15">
          <cell r="E15" t="str">
            <v>10 T</v>
          </cell>
        </row>
        <row r="16">
          <cell r="E16" t="str">
            <v>20 T</v>
          </cell>
        </row>
        <row r="17">
          <cell r="E17" t="str">
            <v>30 T</v>
          </cell>
        </row>
        <row r="18">
          <cell r="E18" t="str">
            <v>40 T</v>
          </cell>
        </row>
        <row r="19">
          <cell r="E19" t="str">
            <v>50 T</v>
          </cell>
        </row>
        <row r="20">
          <cell r="E20" t="str">
            <v>65 T</v>
          </cell>
        </row>
        <row r="21">
          <cell r="E21" t="str">
            <v>80 T</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ordinación de Protecciones"/>
      <sheetName val="NH Total Clearing"/>
      <sheetName val="Duales Minimum Melting"/>
      <sheetName val="Duales Total Clearing"/>
      <sheetName val="Convencionales Minimum Melting"/>
      <sheetName val="Convencionales Total Clearing"/>
      <sheetName val="Settings OR"/>
      <sheetName val="C1"/>
      <sheetName val="C2"/>
      <sheetName val="C3"/>
      <sheetName val="C4"/>
      <sheetName val="C5"/>
      <sheetName val="C1T"/>
      <sheetName val="C2T"/>
      <sheetName val="C3T"/>
      <sheetName val="C4T"/>
      <sheetName val="C5T"/>
      <sheetName val="U1"/>
      <sheetName val="U2"/>
      <sheetName val="U3"/>
      <sheetName val="U4"/>
      <sheetName val="U1T"/>
      <sheetName val="U2T"/>
      <sheetName val="U3T"/>
      <sheetName val="U4T"/>
      <sheetName val="Listas"/>
      <sheetName val="Hoja1"/>
    </sheetNames>
    <sheetDataSet>
      <sheetData sheetId="0"/>
      <sheetData sheetId="1">
        <row r="1">
          <cell r="A1">
            <v>25</v>
          </cell>
        </row>
      </sheetData>
      <sheetData sheetId="2">
        <row r="1">
          <cell r="A1">
            <v>0.4</v>
          </cell>
        </row>
      </sheetData>
      <sheetData sheetId="3">
        <row r="1">
          <cell r="A1">
            <v>0.4</v>
          </cell>
        </row>
      </sheetData>
      <sheetData sheetId="4">
        <row r="1">
          <cell r="A1" t="str">
            <v>2 H</v>
          </cell>
        </row>
      </sheetData>
      <sheetData sheetId="5">
        <row r="1">
          <cell r="A1" t="str">
            <v>2 H</v>
          </cell>
        </row>
      </sheetData>
      <sheetData sheetId="6">
        <row r="3">
          <cell r="A3">
            <v>303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A2" t="str">
            <v>1Ø Sumergido en Aceite</v>
          </cell>
          <cell r="I2" t="str">
            <v>Existe Coordinación</v>
          </cell>
        </row>
        <row r="3">
          <cell r="I3" t="str">
            <v>No Existe Coordinación</v>
          </cell>
        </row>
      </sheetData>
      <sheetData sheetId="26">
        <row r="8">
          <cell r="B8">
            <v>61</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didas de Resistividad"/>
      <sheetName val="Suelo Uniforme"/>
      <sheetName val="Metodo de Sunde"/>
      <sheetName val="IEEE 80-2000"/>
      <sheetName val="Resumen"/>
    </sheetNames>
    <sheetDataSet>
      <sheetData sheetId="0">
        <row r="30">
          <cell r="C30">
            <v>2</v>
          </cell>
        </row>
      </sheetData>
      <sheetData sheetId="1">
        <row r="20">
          <cell r="D20">
            <v>4</v>
          </cell>
        </row>
      </sheetData>
      <sheetData sheetId="2"/>
      <sheetData sheetId="3">
        <row r="24">
          <cell r="V24">
            <v>9.2999999999999992E-3</v>
          </cell>
        </row>
        <row r="34">
          <cell r="M34">
            <v>12</v>
          </cell>
        </row>
        <row r="35">
          <cell r="D35">
            <v>1</v>
          </cell>
        </row>
        <row r="38">
          <cell r="D38">
            <v>2.44</v>
          </cell>
        </row>
        <row r="43">
          <cell r="O43">
            <v>1.2247448713915889</v>
          </cell>
        </row>
        <row r="45">
          <cell r="O45">
            <v>1</v>
          </cell>
        </row>
        <row r="46">
          <cell r="M46">
            <v>3</v>
          </cell>
        </row>
        <row r="57">
          <cell r="D57">
            <v>2.5</v>
          </cell>
        </row>
        <row r="59">
          <cell r="M59">
            <v>17.600000000000001</v>
          </cell>
        </row>
      </sheetData>
      <sheetData sheetId="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NEMA FRAME"/>
      <sheetName val="Cargas"/>
      <sheetName val="Motor"/>
      <sheetName val="S.C. Motor"/>
      <sheetName val="E. Motor"/>
      <sheetName val="Transformador"/>
      <sheetName val="Carga TX"/>
      <sheetName val="Baterias NiCd"/>
      <sheetName val="Caida de tension 3F"/>
      <sheetName val="Caida de tension 1F "/>
      <sheetName val="Caida V. DC"/>
      <sheetName val="Icc"/>
      <sheetName val="Icc Motor"/>
      <sheetName val="Icc TX"/>
      <sheetName val="Icc RED"/>
      <sheetName val="Iluminacion"/>
      <sheetName val="wire size"/>
      <sheetName val="Iluminacion 2"/>
      <sheetName val="Alimentador"/>
      <sheetName val="Lista Cable"/>
      <sheetName val="Aislante"/>
      <sheetName val="Lista de Cables Total"/>
      <sheetName val="oc ducto"/>
      <sheetName val="Cal BAT"/>
      <sheetName val="TB-04"/>
      <sheetName val="FP"/>
      <sheetName val="Tablero 3f"/>
      <sheetName val="Tablero 1F"/>
      <sheetName val="Dist TB"/>
      <sheetName val="Bandejas"/>
      <sheetName val="Bandejas M"/>
      <sheetName val="Bandejas MC"/>
      <sheetName val="Tabla 2G"/>
      <sheetName val="Tabla 4"/>
      <sheetName val="Diam Cables"/>
      <sheetName val="Tabla 5"/>
      <sheetName val="Tabla 9"/>
      <sheetName val="310.16"/>
      <sheetName val="310.73"/>
      <sheetName val="310.74"/>
      <sheetName val="430-148"/>
      <sheetName val="430-150"/>
      <sheetName val="430-152"/>
      <sheetName val="cerramiento"/>
      <sheetName val="B. cu"/>
      <sheetName val="250-95"/>
      <sheetName val="Glosario"/>
      <sheetName val="ABOUT"/>
      <sheetName val="Calculos+electricos+3.7"/>
    </sheetNames>
    <sheetDataSet>
      <sheetData sheetId="0" refreshError="1"/>
      <sheetData sheetId="1" refreshError="1"/>
      <sheetData sheetId="2" refreshError="1"/>
      <sheetData sheetId="3">
        <row r="14">
          <cell r="C14">
            <v>200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row r="42">
          <cell r="B42">
            <v>3.1492</v>
          </cell>
        </row>
      </sheetData>
      <sheetData sheetId="37" refreshError="1"/>
      <sheetData sheetId="38">
        <row r="117">
          <cell r="H117">
            <v>2</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ORES"/>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RTADA"/>
      <sheetName val="C.C."/>
      <sheetName val="CÁLCULO DE CONDUCTORES"/>
      <sheetName val="CALCULO ECONÓMICO"/>
      <sheetName val="LISTADO"/>
      <sheetName val="TABLAS_NEC"/>
      <sheetName val="MOTORES"/>
      <sheetName val="CONDUCTORES"/>
      <sheetName val="CONDUCTOR DE TIERRA"/>
      <sheetName val="DERRATEO POR TEMPERATURA AMBIEN"/>
      <sheetName val="CONDUIT"/>
      <sheetName val="Demanda Transformador "/>
      <sheetName val="Cuadro de Cargas "/>
      <sheetName val="CANALIZACIONES"/>
      <sheetName val="LISTAS"/>
      <sheetName val="Tablas Cables"/>
      <sheetName val="Factor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
          <cell r="A1" t="str">
            <v>TRANSFORMADOR</v>
          </cell>
        </row>
        <row r="2">
          <cell r="A2" t="str">
            <v>GENERADOR</v>
          </cell>
        </row>
        <row r="3">
          <cell r="A3" t="str">
            <v>TABLERO C/N</v>
          </cell>
        </row>
        <row r="4">
          <cell r="A4" t="str">
            <v>TABLERO S/N</v>
          </cell>
        </row>
        <row r="5">
          <cell r="A5" t="str">
            <v>VARIADOR</v>
          </cell>
        </row>
        <row r="6">
          <cell r="A6" t="str">
            <v>MOTOR 3Ø</v>
          </cell>
        </row>
        <row r="7">
          <cell r="A7" t="str">
            <v>MOTOR 1Ø</v>
          </cell>
        </row>
        <row r="8">
          <cell r="A8" t="str">
            <v>ILUMINACIÓN</v>
          </cell>
        </row>
        <row r="9">
          <cell r="A9" t="str">
            <v>CARGA</v>
          </cell>
        </row>
      </sheetData>
      <sheetData sheetId="15" refreshError="1"/>
      <sheetData sheetId="1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RTADA "/>
      <sheetName val="C.C. "/>
      <sheetName val="INSTRUMENTOS"/>
      <sheetName val="NOTAS"/>
    </sheetNames>
    <sheetDataSet>
      <sheetData sheetId="0">
        <row r="1">
          <cell r="I1" t="str">
            <v>LISTADO DE INSTRUMENTOS - DINA T-58</v>
          </cell>
        </row>
        <row r="3">
          <cell r="I3" t="str">
            <v>Contrato No. 3037739 ODS-039: “INGENIERÍA BÁSICA DESARROLLO INTEGRAL DINA T - PALOGRANDE”</v>
          </cell>
        </row>
      </sheetData>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Jesus David Borda Guerrero" id="{10B4CB81-9E00-475A-8C9B-809BECF9D6E4}" userId="S::jesus.borda@seringtec.com::55e9a1dd-5616-4c71-8b39-0a6c5dbbcc96" providerId="AD"/>
  <person displayName="Jose Dario  Martinez Alfonso" id="{EC4C3836-0096-4F06-B0D3-74ECEB847112}" userId="S::jose.alfonso@seringtec.com::e115dc15-1170-4fcd-aee2-b771dc952419" providerId="AD"/>
</personList>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92" dT="2020-03-11T17:31:12.12" personId="{10B4CB81-9E00-475A-8C9B-809BECF9D6E4}" id="{7A36C639-5129-42FF-BA11-9D6681B4B695}">
    <text>SE DEBE DEJAR EN EL CUADRO LO QUE APLIQUE PARA LA INGENIERÍA.</text>
  </threadedComment>
  <threadedComment ref="A187" dT="2020-03-11T18:06:14.44" personId="{10B4CB81-9E00-475A-8C9B-809BECF9D6E4}" id="{3A9A995B-BAF9-4DD8-8408-1084A698B0D2}">
    <text>ESTE CRÍTERIO DEPENDERA DE LA INGENERÍA A DESARROLLAR</text>
  </threadedComment>
  <threadedComment ref="A189" dT="2020-03-11T18:16:37.55" personId="{10B4CB81-9E00-475A-8C9B-809BECF9D6E4}" id="{874D5717-9C7B-4BC5-95B6-23D24C70B688}">
    <text>ESTE CRÍTERIO DEPENDERA DE LA INGENERÍA A DESARROLLAR</text>
  </threadedComment>
  <threadedComment ref="M200" dT="2020-03-11T19:38:53.93" personId="{10B4CB81-9E00-475A-8C9B-809BECF9D6E4}" id="{18995496-2406-4142-BDC9-645455FE1B5C}">
    <text>ESTE VALOR ESTA DEFINIDO POR LOS CRITERIOS DEL DISEÑADOR</text>
  </threadedComment>
</ThreadedComments>
</file>

<file path=xl/threadedComments/threadedComment2.xml><?xml version="1.0" encoding="utf-8"?>
<ThreadedComments xmlns="http://schemas.microsoft.com/office/spreadsheetml/2018/threadedcomments" xmlns:x="http://schemas.openxmlformats.org/spreadsheetml/2006/main">
  <threadedComment ref="AV16" dT="2019-03-15T18:18:00.79" personId="{10B4CB81-9E00-475A-8C9B-809BECF9D6E4}" id="{FBE1F4FA-55E6-446F-B955-20227E73542F}">
    <text>SE TOMA 100 COMO VALOR INDICATIVO, DEBIDO A QUE LOS CABLES ARMADOS Y CABLES AÉREOS NO SE REALIZA LA VERIFICACIÓN DE CORRIENTE</text>
  </threadedComment>
  <threadedComment ref="AX16" dT="2019-03-15T18:19:32.61" personId="{10B4CB81-9E00-475A-8C9B-809BECF9D6E4}" id="{B655196A-6911-4094-85F6-C8772EBD6706}">
    <text>EL CONDUCTOR DE TIERRA SE CÁLCULA AUTOMATICO SI ESTA CASILLA ESTÁ EN LA OPCIÓN "No"</text>
  </threadedComment>
</ThreadedComments>
</file>

<file path=xl/threadedComments/threadedComment3.xml><?xml version="1.0" encoding="utf-8"?>
<ThreadedComments xmlns="http://schemas.microsoft.com/office/spreadsheetml/2018/threadedcomments" xmlns:x="http://schemas.openxmlformats.org/spreadsheetml/2006/main">
  <threadedComment ref="O9" dT="2020-03-11T15:41:52.23" personId="{10B4CB81-9E00-475A-8C9B-809BECF9D6E4}" id="{D44C518A-E50E-48EF-948E-124FBC04C7E2}">
    <text>SE DEBE TENER EN CUENTA EL PORCENTAJE DE ARMÓNICOS THDi MENCIONADO EN LA COLUMNA "AT", DONDE SU VARIACIÓN DEPENDE LA CORRIENTE NOMINAL CALCULADA.</text>
  </threadedComment>
  <threadedComment ref="AX9" dT="2020-03-11T15:39:00.38" personId="{10B4CB81-9E00-475A-8C9B-809BECF9D6E4}" id="{EEDE1ECB-E213-48D1-AE6E-C82F94537FDC}">
    <text>AL CAMBIAR EL PORCENTAJE DE ARMÓNICOS THDi, SE VERA AFECTADA TAMBIÉN LA CORRIENTE NOMINAL, TENER EN CUENTA EN EL CÁLCULO DEL CONDUCTOR.</text>
  </threadedComment>
  <threadedComment ref="AZ9" dT="2020-03-12T15:56:20.54" personId="{10B4CB81-9E00-475A-8C9B-809BECF9D6E4}" id="{43A1931B-2FC5-4B51-BB96-7F97E0F4E569}">
    <text>EL VALOR CÁLCULADO DEBE SER MAYOR A 10, PARA GARANTIZAR ASI LA ECUACIÓN DESCRITA</text>
  </threadedComment>
  <threadedComment ref="T10" dT="2023-11-29T19:27:39.37" personId="{EC4C3836-0096-4F06-B0D3-74ECEB847112}" id="{99E37CC5-E72D-42F3-983C-A16D1852E91E}">
    <text>Esta casilla verifica que la corriente de corto sea &gt;10 veces la corriente nominal para garantiza que en falla entre en la zona de disparo instantanea</text>
  </threadedComment>
  <threadedComment ref="R12" dT="2020-03-17T17:59:38.72" personId="{10B4CB81-9E00-475A-8C9B-809BECF9D6E4}" id="{8FFCE056-D41A-477C-993F-63EEA3D2BACD}">
    <text>VERIFICAR COLUMNA "AS" DEL EXCEL PARA TENER EN CUENTA EL TIPO DE CARGA PARA AUSTE DE LA PROTECCIÓN</text>
  </threadedComment>
  <threadedComment ref="AK15" dT="2019-03-18T20:44:17.28" personId="{10B4CB81-9E00-475A-8C9B-809BECF9D6E4}" id="{C74C3647-8CAC-430F-89A5-985D502B157F}">
    <text>LA CORRIENTE CALCULADA EN ESTA COLUMNA DEPENDE DEL TIEMPO DE DESPEJE DE LA FALLA, DICHO VALOR SE CAMBIA EN LA CASILLA DE LA COLUMNA "T"</text>
  </threadedComment>
  <threadedComment ref="AL15" dT="2019-03-18T20:44:17.28" personId="{10B4CB81-9E00-475A-8C9B-809BECF9D6E4}" id="{DDEF387B-E2FA-44E5-B11D-B8D98906A756}">
    <text>EN ESTA COLUMNA SE DEBE INGRESAR EL VALOR DE CORRIENTE DE CORTO CIRCUITO DE LA BARRA QUE SE ENCUENTRA CONECTADO EL CONDUCTOR ESCOGIDO</text>
  </threadedComment>
  <threadedComment ref="AO15" dT="2019-03-18T20:44:17.28" personId="{10B4CB81-9E00-475A-8C9B-809BECF9D6E4}" id="{0C3A92D5-9593-45E9-B1A1-3047D1C12C92}">
    <text>SI APARECE EN ROJO SE DEBE VERIFICAR QUE LA CASILLA DE LA COLUMNA "AX" SE ENCUENTRE EN "NO" Y LA CASILLA DE LA COLUMNA "AV" NO CONTENGA LA PALABRA "Motor Alimentado de VFD"
SI EL CABLE ES UN CABLE VFD, SE DEBE CAMBIAR DE MONOPOLAR A MULTICONDUCTOR
SI EL CABLE ES AÉREO DEBE ESTAR EN MONOPOLAR, Y MATERIAL ALUMINIO</text>
  </threadedComment>
  <threadedComment ref="AW15" dT="2019-03-18T20:44:17.28" personId="{10B4CB81-9E00-475A-8C9B-809BECF9D6E4}" id="{5DC387E5-CA8A-4087-9A32-50B8864FEF9A}">
    <text>SI APAREC EN ROJO Y EL CABLE ES MONOPOLAR, SE DEBE CAMBIAR DE "Motor Alimentado de VFD" A OTRO TIPO DE CARGA</text>
  </threadedComment>
  <threadedComment ref="AZ15" dT="2019-03-18T20:44:17.28" personId="{10B4CB81-9E00-475A-8C9B-809BECF9D6E4}" id="{DC0480BA-D4A8-4F67-9C0D-CDBB741FA821}">
    <text>SI APARECE EN ROJO, SE DEBE CAMBIAR LA TIERRA YA DETERMINADA POR EL PROGRAMA, ESTO DESDE LA CASILLA "AX"</text>
  </threadedComment>
  <threadedComment ref="BA15" dT="2019-03-18T21:20:08.67" personId="{10B4CB81-9E00-475A-8C9B-809BECF9D6E4}" id="{A49B814E-283C-4D72-808B-69DA46AB7108}">
    <text>SI APARECE EN ROJO  Y EL TIPO DE CABLE ES VFD, SE DEBE COLOCAR LA CASILLA EN "NO"</text>
  </threadedComment>
</ThreadedComments>
</file>

<file path=xl/threadedComments/threadedComment4.xml><?xml version="1.0" encoding="utf-8"?>
<ThreadedComments xmlns="http://schemas.microsoft.com/office/spreadsheetml/2018/threadedcomments" xmlns:x="http://schemas.openxmlformats.org/spreadsheetml/2006/main">
  <threadedComment ref="AU4" dT="2023-11-15T21:57:24.84" personId="{EC4C3836-0096-4F06-B0D3-74ECEB847112}" id="{F9A1CE87-5302-47DB-BA03-C4045B3C2BA5}">
    <text>tarifa de referencia enel, industrial monomia con contribución nivel 4, octubre 2023</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17/10/relationships/threadedComment" Target="../threadedComments/threadedComment4.x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mments" Target="../comments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6.x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67756-7586-40F0-BAC3-DD8B0473669E}">
  <sheetPr codeName="Hoja15">
    <pageSetUpPr fitToPage="1"/>
  </sheetPr>
  <dimension ref="A1:AY649"/>
  <sheetViews>
    <sheetView view="pageBreakPreview" topLeftCell="A564" zoomScaleNormal="100" zoomScaleSheetLayoutView="100" workbookViewId="0">
      <selection activeCell="I1" sqref="I1:AH2"/>
    </sheetView>
  </sheetViews>
  <sheetFormatPr baseColWidth="10" defaultColWidth="2.5546875" defaultRowHeight="13.2" x14ac:dyDescent="0.25"/>
  <cols>
    <col min="1" max="34" width="3.5546875" style="307" customWidth="1"/>
    <col min="35" max="233" width="9.109375" style="307" customWidth="1"/>
    <col min="234" max="242" width="2.5546875" style="307"/>
    <col min="243" max="243" width="3.44140625" style="307" customWidth="1"/>
    <col min="244" max="244" width="5.109375" style="307" customWidth="1"/>
    <col min="245" max="16384" width="2.5546875" style="307"/>
  </cols>
  <sheetData>
    <row r="1" spans="1:51" s="263" customFormat="1" ht="18" customHeight="1" thickTop="1" thickBot="1" x14ac:dyDescent="0.3">
      <c r="A1" s="1430"/>
      <c r="B1" s="1431"/>
      <c r="C1" s="1431"/>
      <c r="D1" s="1431"/>
      <c r="E1" s="1431"/>
      <c r="F1" s="1431"/>
      <c r="G1" s="1431"/>
      <c r="H1" s="1432"/>
      <c r="I1" s="1439" t="e">
        <f>+#REF!</f>
        <v>#REF!</v>
      </c>
      <c r="J1" s="1440"/>
      <c r="K1" s="1440"/>
      <c r="L1" s="1440"/>
      <c r="M1" s="1440"/>
      <c r="N1" s="1440"/>
      <c r="O1" s="1440"/>
      <c r="P1" s="1440"/>
      <c r="Q1" s="1440"/>
      <c r="R1" s="1440"/>
      <c r="S1" s="1440"/>
      <c r="T1" s="1440"/>
      <c r="U1" s="1440"/>
      <c r="V1" s="1440"/>
      <c r="W1" s="1440"/>
      <c r="X1" s="1440"/>
      <c r="Y1" s="1440"/>
      <c r="Z1" s="1440"/>
      <c r="AA1" s="1440"/>
      <c r="AB1" s="1440"/>
      <c r="AC1" s="1440"/>
      <c r="AD1" s="1440"/>
      <c r="AE1" s="1440"/>
      <c r="AF1" s="1440"/>
      <c r="AG1" s="1440"/>
      <c r="AH1" s="1441"/>
      <c r="AJ1" s="655" t="str">
        <f>SUBSTITUTE((MID(A10,(FIND("""",A10))+1,(LEN(A10)-FIND("""",A10)))),(MID((MID(A10,(FIND("""",A10))+1,(LEN(A10)-FIND("""",A10)))),(FIND("""",MID(A10,(FIND("""",A10))+1,(LEN(A10)-FIND("""",A10))))),((LEN(A10)-FIND("""",A10))-(FIND("""",MID(A10,(FIND("""",A10))+1,(LEN(A10)-FIND("""",A10))))-1)))),"")</f>
        <v>XXXXXXXXXXXXXXX</v>
      </c>
    </row>
    <row r="2" spans="1:51" s="263" customFormat="1" ht="18" customHeight="1" thickTop="1" thickBot="1" x14ac:dyDescent="0.3">
      <c r="A2" s="1433"/>
      <c r="B2" s="1434"/>
      <c r="C2" s="1434"/>
      <c r="D2" s="1434"/>
      <c r="E2" s="1434"/>
      <c r="F2" s="1434"/>
      <c r="G2" s="1434"/>
      <c r="H2" s="1435"/>
      <c r="I2" s="1439"/>
      <c r="J2" s="1440"/>
      <c r="K2" s="1440"/>
      <c r="L2" s="1440"/>
      <c r="M2" s="1440"/>
      <c r="N2" s="1440"/>
      <c r="O2" s="1440"/>
      <c r="P2" s="1440"/>
      <c r="Q2" s="1440"/>
      <c r="R2" s="1440"/>
      <c r="S2" s="1440"/>
      <c r="T2" s="1440"/>
      <c r="U2" s="1440"/>
      <c r="V2" s="1440"/>
      <c r="W2" s="1440"/>
      <c r="X2" s="1440"/>
      <c r="Y2" s="1440"/>
      <c r="Z2" s="1440"/>
      <c r="AA2" s="1440"/>
      <c r="AB2" s="1440"/>
      <c r="AC2" s="1440"/>
      <c r="AD2" s="1440"/>
      <c r="AE2" s="1440"/>
      <c r="AF2" s="1440"/>
      <c r="AG2" s="1440"/>
      <c r="AH2" s="1441"/>
    </row>
    <row r="3" spans="1:51" s="263" customFormat="1" ht="21.75" customHeight="1" thickTop="1" x14ac:dyDescent="0.25">
      <c r="A3" s="1433"/>
      <c r="B3" s="1434"/>
      <c r="C3" s="1434"/>
      <c r="D3" s="1434"/>
      <c r="E3" s="1434"/>
      <c r="F3" s="1434"/>
      <c r="G3" s="1434"/>
      <c r="H3" s="1435"/>
      <c r="I3" s="1442" t="e">
        <f>+#REF!</f>
        <v>#REF!</v>
      </c>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4"/>
    </row>
    <row r="4" spans="1:51" s="263" customFormat="1" ht="21.75" customHeight="1" thickBot="1" x14ac:dyDescent="0.3">
      <c r="A4" s="1433"/>
      <c r="B4" s="1434"/>
      <c r="C4" s="1434"/>
      <c r="D4" s="1434"/>
      <c r="E4" s="1434"/>
      <c r="F4" s="1434"/>
      <c r="G4" s="1434"/>
      <c r="H4" s="1435"/>
      <c r="I4" s="1445"/>
      <c r="J4" s="1446"/>
      <c r="K4" s="1446"/>
      <c r="L4" s="1446"/>
      <c r="M4" s="1446"/>
      <c r="N4" s="1446"/>
      <c r="O4" s="1446"/>
      <c r="P4" s="1446"/>
      <c r="Q4" s="1446"/>
      <c r="R4" s="1446"/>
      <c r="S4" s="1446"/>
      <c r="T4" s="1446"/>
      <c r="U4" s="1446"/>
      <c r="V4" s="1446"/>
      <c r="W4" s="1446"/>
      <c r="X4" s="1446"/>
      <c r="Y4" s="1446"/>
      <c r="Z4" s="1446"/>
      <c r="AA4" s="1446"/>
      <c r="AB4" s="1446"/>
      <c r="AC4" s="1446"/>
      <c r="AD4" s="1446"/>
      <c r="AE4" s="1446"/>
      <c r="AF4" s="1446"/>
      <c r="AG4" s="1446"/>
      <c r="AH4" s="1447"/>
    </row>
    <row r="5" spans="1:51" s="263" customFormat="1" ht="18" customHeight="1" thickTop="1" x14ac:dyDescent="0.25">
      <c r="A5" s="1433"/>
      <c r="B5" s="1434"/>
      <c r="C5" s="1434"/>
      <c r="D5" s="1434"/>
      <c r="E5" s="1434"/>
      <c r="F5" s="1434"/>
      <c r="G5" s="1434"/>
      <c r="H5" s="1435"/>
      <c r="I5" s="1448" t="s">
        <v>2</v>
      </c>
      <c r="J5" s="1448"/>
      <c r="K5" s="1448"/>
      <c r="L5" s="1448"/>
      <c r="M5" s="1448"/>
      <c r="N5" s="1448"/>
      <c r="O5" s="1448"/>
      <c r="P5" s="1448"/>
      <c r="Q5" s="1448"/>
      <c r="R5" s="1448" t="s">
        <v>3</v>
      </c>
      <c r="S5" s="1448"/>
      <c r="T5" s="1448"/>
      <c r="U5" s="1448"/>
      <c r="V5" s="1448"/>
      <c r="W5" s="1430"/>
      <c r="X5" s="1430" t="s">
        <v>4</v>
      </c>
      <c r="Y5" s="1431"/>
      <c r="Z5" s="1431"/>
      <c r="AA5" s="1431"/>
      <c r="AB5" s="1432"/>
      <c r="AC5" s="1432" t="s">
        <v>5</v>
      </c>
      <c r="AD5" s="1449"/>
      <c r="AE5" s="1449"/>
      <c r="AF5" s="1449"/>
      <c r="AG5" s="1449"/>
      <c r="AH5" s="1449"/>
    </row>
    <row r="6" spans="1:51" s="263" customFormat="1" ht="18" customHeight="1" thickBot="1" x14ac:dyDescent="0.3">
      <c r="A6" s="1436"/>
      <c r="B6" s="1437"/>
      <c r="C6" s="1437"/>
      <c r="D6" s="1437"/>
      <c r="E6" s="1437"/>
      <c r="F6" s="1437"/>
      <c r="G6" s="1437"/>
      <c r="H6" s="1438"/>
      <c r="I6" s="1450" t="e">
        <f>+#REF!</f>
        <v>#REF!</v>
      </c>
      <c r="J6" s="1450"/>
      <c r="K6" s="1450"/>
      <c r="L6" s="1450"/>
      <c r="M6" s="1450"/>
      <c r="N6" s="1450"/>
      <c r="O6" s="1450"/>
      <c r="P6" s="1450"/>
      <c r="Q6" s="1450"/>
      <c r="R6" s="1450" t="e">
        <f>+#REF!</f>
        <v>#REF!</v>
      </c>
      <c r="S6" s="1450"/>
      <c r="T6" s="1450"/>
      <c r="U6" s="1450"/>
      <c r="V6" s="1450"/>
      <c r="W6" s="1436"/>
      <c r="X6" s="1451" t="e">
        <f>+#REF!</f>
        <v>#REF!</v>
      </c>
      <c r="Y6" s="1452"/>
      <c r="Z6" s="1452"/>
      <c r="AA6" s="1452"/>
      <c r="AB6" s="1453"/>
      <c r="AC6" s="1438"/>
      <c r="AD6" s="1450"/>
      <c r="AE6" s="1450"/>
      <c r="AF6" s="1450"/>
      <c r="AG6" s="1450"/>
      <c r="AH6" s="1450"/>
    </row>
    <row r="7" spans="1:51" s="305" customFormat="1" ht="12" customHeight="1" thickTop="1" x14ac:dyDescent="0.25">
      <c r="A7" s="327"/>
      <c r="B7" s="327"/>
      <c r="C7" s="327"/>
      <c r="D7" s="327"/>
      <c r="E7" s="327"/>
      <c r="F7" s="327"/>
      <c r="G7" s="327"/>
      <c r="H7" s="327"/>
      <c r="I7" s="327"/>
      <c r="J7" s="327"/>
      <c r="K7" s="327"/>
      <c r="L7" s="327"/>
      <c r="M7" s="327"/>
      <c r="N7" s="327"/>
      <c r="O7" s="327"/>
      <c r="P7" s="327"/>
      <c r="Q7" s="327"/>
      <c r="R7" s="327"/>
      <c r="S7" s="327"/>
      <c r="T7" s="327"/>
      <c r="U7" s="327"/>
      <c r="V7" s="327"/>
      <c r="W7" s="327"/>
      <c r="X7" s="327"/>
      <c r="Y7" s="327"/>
      <c r="Z7" s="327"/>
      <c r="AA7" s="327"/>
      <c r="AB7" s="327"/>
      <c r="AC7" s="327"/>
      <c r="AD7" s="327"/>
      <c r="AE7" s="327"/>
      <c r="AF7" s="327"/>
      <c r="AG7" s="327"/>
      <c r="AH7" s="327"/>
    </row>
    <row r="8" spans="1:51" s="308" customFormat="1" ht="18" customHeight="1" x14ac:dyDescent="0.25">
      <c r="A8" s="1428" t="s">
        <v>6</v>
      </c>
      <c r="B8" s="1428"/>
      <c r="C8" s="1428"/>
      <c r="D8" s="1428"/>
      <c r="E8" s="1428"/>
      <c r="F8" s="1428"/>
      <c r="G8" s="1428"/>
      <c r="H8" s="1428"/>
      <c r="I8" s="1428"/>
      <c r="J8" s="1428"/>
      <c r="K8" s="1428"/>
      <c r="L8" s="1428"/>
      <c r="M8" s="1428"/>
      <c r="N8" s="1428"/>
      <c r="O8" s="1428"/>
      <c r="P8" s="1428"/>
      <c r="Q8" s="1428"/>
      <c r="R8" s="1428"/>
      <c r="S8" s="1428"/>
      <c r="T8" s="1428"/>
      <c r="U8" s="1428"/>
      <c r="V8" s="1428"/>
      <c r="W8" s="1428"/>
      <c r="X8" s="1428"/>
      <c r="Y8" s="1428"/>
      <c r="Z8" s="1428"/>
      <c r="AA8" s="1428"/>
      <c r="AB8" s="1428"/>
      <c r="AC8" s="1428"/>
      <c r="AD8" s="1428"/>
      <c r="AE8" s="1428"/>
      <c r="AF8" s="1428"/>
      <c r="AG8" s="1428"/>
      <c r="AH8" s="1428"/>
      <c r="AJ8" s="512"/>
    </row>
    <row r="9" spans="1:51" s="308" customFormat="1" ht="11.25" customHeight="1" x14ac:dyDescent="0.25">
      <c r="A9" s="326"/>
      <c r="B9" s="326"/>
      <c r="C9" s="326"/>
      <c r="D9" s="326"/>
      <c r="E9" s="326"/>
      <c r="F9" s="326"/>
      <c r="G9" s="326"/>
      <c r="H9" s="326"/>
      <c r="I9" s="326"/>
      <c r="J9" s="326"/>
      <c r="K9" s="326"/>
      <c r="L9" s="326"/>
      <c r="M9" s="326"/>
      <c r="N9" s="326"/>
      <c r="O9" s="326"/>
      <c r="P9" s="326"/>
      <c r="Q9" s="326"/>
      <c r="R9" s="326"/>
      <c r="S9" s="326"/>
      <c r="T9" s="326"/>
      <c r="U9" s="326"/>
      <c r="V9" s="326"/>
      <c r="W9" s="326"/>
      <c r="X9" s="326"/>
      <c r="Y9" s="326"/>
      <c r="Z9" s="326"/>
      <c r="AA9" s="326"/>
      <c r="AB9" s="326"/>
      <c r="AC9" s="326"/>
      <c r="AD9" s="326"/>
      <c r="AE9" s="326"/>
      <c r="AF9" s="326"/>
      <c r="AG9" s="326"/>
      <c r="AH9" s="326"/>
      <c r="AJ9" s="508"/>
      <c r="AK9" s="307"/>
      <c r="AL9" s="307"/>
      <c r="AM9" s="307"/>
      <c r="AN9" s="307"/>
      <c r="AO9" s="307"/>
      <c r="AP9" s="307"/>
      <c r="AQ9" s="307"/>
      <c r="AR9" s="307"/>
      <c r="AS9" s="307"/>
      <c r="AT9" s="307"/>
      <c r="AU9" s="307"/>
      <c r="AV9" s="307"/>
      <c r="AW9" s="307"/>
      <c r="AX9" s="307"/>
      <c r="AY9" s="307"/>
    </row>
    <row r="10" spans="1:51" s="312" customFormat="1" ht="39" customHeight="1" x14ac:dyDescent="0.25">
      <c r="A10" s="1429" t="s">
        <v>7</v>
      </c>
      <c r="B10" s="1429"/>
      <c r="C10" s="1429"/>
      <c r="D10" s="1429"/>
      <c r="E10" s="1429"/>
      <c r="F10" s="1429"/>
      <c r="G10" s="1429"/>
      <c r="H10" s="1429"/>
      <c r="I10" s="1429"/>
      <c r="J10" s="1429"/>
      <c r="K10" s="1429"/>
      <c r="L10" s="1429"/>
      <c r="M10" s="1429"/>
      <c r="N10" s="1429"/>
      <c r="O10" s="1429"/>
      <c r="P10" s="1429"/>
      <c r="Q10" s="1429"/>
      <c r="R10" s="1429"/>
      <c r="S10" s="1429"/>
      <c r="T10" s="1429"/>
      <c r="U10" s="1429"/>
      <c r="V10" s="1429"/>
      <c r="W10" s="1429"/>
      <c r="X10" s="1429"/>
      <c r="Y10" s="1429"/>
      <c r="Z10" s="1429"/>
      <c r="AA10" s="1429"/>
      <c r="AB10" s="1429"/>
      <c r="AC10" s="1429"/>
      <c r="AD10" s="1429"/>
      <c r="AE10" s="1429"/>
      <c r="AF10" s="1429"/>
      <c r="AG10" s="1429"/>
      <c r="AH10" s="1429"/>
      <c r="AJ10" s="1427" t="s">
        <v>8</v>
      </c>
      <c r="AK10" s="1427"/>
      <c r="AL10" s="1427"/>
      <c r="AM10" s="1427"/>
      <c r="AN10" s="1427"/>
      <c r="AO10" s="1427"/>
      <c r="AP10" s="1427"/>
      <c r="AQ10" s="511"/>
      <c r="AR10" s="511"/>
      <c r="AS10" s="511"/>
      <c r="AT10" s="511"/>
      <c r="AU10" s="511"/>
      <c r="AV10" s="511"/>
      <c r="AW10" s="511"/>
      <c r="AX10" s="511"/>
    </row>
    <row r="11" spans="1:51" ht="19.5" customHeight="1" x14ac:dyDescent="0.25">
      <c r="AJ11" s="1427"/>
      <c r="AK11" s="1427"/>
      <c r="AL11" s="1427"/>
      <c r="AM11" s="1427"/>
      <c r="AN11" s="1427"/>
      <c r="AO11" s="1427"/>
      <c r="AP11" s="1427"/>
    </row>
    <row r="12" spans="1:51" s="308" customFormat="1" ht="18" customHeight="1" x14ac:dyDescent="0.25">
      <c r="A12" s="1428" t="s">
        <v>9</v>
      </c>
      <c r="B12" s="1428"/>
      <c r="C12" s="1428"/>
      <c r="D12" s="1428"/>
      <c r="E12" s="1428"/>
      <c r="F12" s="1428"/>
      <c r="G12" s="1428"/>
      <c r="H12" s="1428"/>
      <c r="I12" s="1428"/>
      <c r="J12" s="1428"/>
      <c r="K12" s="1428"/>
      <c r="L12" s="1428"/>
      <c r="M12" s="1428"/>
      <c r="N12" s="1428"/>
      <c r="O12" s="1428"/>
      <c r="P12" s="1428"/>
      <c r="Q12" s="1428"/>
      <c r="R12" s="1428"/>
      <c r="S12" s="1428"/>
      <c r="T12" s="1428"/>
      <c r="U12" s="1428"/>
      <c r="V12" s="1428"/>
      <c r="W12" s="1428"/>
      <c r="X12" s="1428"/>
      <c r="Y12" s="1428"/>
      <c r="Z12" s="1428"/>
      <c r="AA12" s="1428"/>
      <c r="AB12" s="1428"/>
      <c r="AC12" s="1428"/>
      <c r="AD12" s="1428"/>
      <c r="AE12" s="1428"/>
      <c r="AF12" s="1428"/>
      <c r="AG12" s="1428"/>
      <c r="AH12" s="1428"/>
      <c r="AJ12" s="1427"/>
      <c r="AK12" s="1427"/>
      <c r="AL12" s="1427"/>
      <c r="AM12" s="1427"/>
      <c r="AN12" s="1427"/>
      <c r="AO12" s="1427"/>
      <c r="AP12" s="1427"/>
    </row>
    <row r="13" spans="1:51" s="308" customFormat="1" ht="11.25" customHeight="1" x14ac:dyDescent="0.25">
      <c r="A13" s="326"/>
      <c r="B13" s="326"/>
      <c r="C13" s="326"/>
      <c r="D13" s="326"/>
      <c r="E13" s="326"/>
      <c r="F13" s="326"/>
      <c r="G13" s="326"/>
      <c r="H13" s="326"/>
      <c r="I13" s="326"/>
      <c r="J13" s="326"/>
      <c r="K13" s="326"/>
      <c r="L13" s="326"/>
      <c r="M13" s="326"/>
      <c r="N13" s="326"/>
      <c r="O13" s="326"/>
      <c r="P13" s="326"/>
      <c r="Q13" s="326"/>
      <c r="R13" s="326"/>
      <c r="S13" s="326"/>
      <c r="T13" s="326"/>
      <c r="U13" s="326"/>
      <c r="V13" s="326"/>
      <c r="W13" s="326"/>
      <c r="X13" s="326"/>
      <c r="Y13" s="326"/>
      <c r="Z13" s="326"/>
      <c r="AA13" s="326"/>
      <c r="AB13" s="326"/>
      <c r="AC13" s="326"/>
      <c r="AD13" s="326"/>
      <c r="AE13" s="326"/>
      <c r="AF13" s="326"/>
      <c r="AG13" s="326"/>
      <c r="AH13" s="326"/>
      <c r="AJ13" s="508"/>
      <c r="AK13" s="307"/>
      <c r="AL13" s="307"/>
      <c r="AM13" s="307"/>
      <c r="AN13" s="307"/>
      <c r="AO13" s="307"/>
      <c r="AP13" s="307"/>
      <c r="AQ13" s="307"/>
      <c r="AR13" s="307"/>
      <c r="AS13" s="307"/>
      <c r="AT13" s="307"/>
      <c r="AU13" s="307"/>
      <c r="AV13" s="307"/>
      <c r="AW13" s="307"/>
      <c r="AX13" s="307"/>
      <c r="AY13" s="307"/>
    </row>
    <row r="14" spans="1:51" s="308" customFormat="1" ht="15.75" customHeight="1" x14ac:dyDescent="0.25">
      <c r="A14" s="1429" t="s">
        <v>10</v>
      </c>
      <c r="B14" s="1429"/>
      <c r="C14" s="1429"/>
      <c r="D14" s="1429"/>
      <c r="E14" s="1429"/>
      <c r="F14" s="1429"/>
      <c r="G14" s="1429"/>
      <c r="H14" s="1429"/>
      <c r="I14" s="1429"/>
      <c r="J14" s="1429"/>
      <c r="K14" s="1429"/>
      <c r="L14" s="1429"/>
      <c r="M14" s="1429"/>
      <c r="N14" s="1429"/>
      <c r="O14" s="1429"/>
      <c r="P14" s="1429"/>
      <c r="Q14" s="1429"/>
      <c r="R14" s="1429"/>
      <c r="S14" s="1429"/>
      <c r="T14" s="1429"/>
      <c r="U14" s="1429"/>
      <c r="V14" s="1429"/>
      <c r="W14" s="1429"/>
      <c r="X14" s="1429"/>
      <c r="Y14" s="1429"/>
      <c r="Z14" s="1429"/>
      <c r="AA14" s="1429"/>
      <c r="AB14" s="1429"/>
      <c r="AC14" s="1429"/>
      <c r="AD14" s="1429"/>
      <c r="AE14" s="1429"/>
      <c r="AF14" s="1429"/>
      <c r="AG14" s="1429"/>
      <c r="AH14" s="1429"/>
      <c r="AJ14" s="508"/>
      <c r="AK14" s="657"/>
      <c r="AL14" s="657"/>
      <c r="AM14" s="657"/>
      <c r="AN14" s="657"/>
      <c r="AO14" s="657"/>
      <c r="AP14" s="657"/>
      <c r="AQ14" s="657"/>
      <c r="AR14" s="657"/>
      <c r="AS14" s="657"/>
      <c r="AT14" s="657"/>
      <c r="AU14" s="657"/>
      <c r="AV14" s="657"/>
      <c r="AW14" s="657"/>
      <c r="AX14" s="657"/>
      <c r="AY14" s="657"/>
    </row>
    <row r="15" spans="1:51" s="308" customFormat="1" ht="15.75" customHeight="1" x14ac:dyDescent="0.25">
      <c r="A15" s="1429" t="s">
        <v>11</v>
      </c>
      <c r="B15" s="1429"/>
      <c r="C15" s="1429"/>
      <c r="D15" s="1429"/>
      <c r="E15" s="1429"/>
      <c r="F15" s="1429"/>
      <c r="G15" s="1429"/>
      <c r="H15" s="1429"/>
      <c r="I15" s="1429"/>
      <c r="J15" s="1429"/>
      <c r="K15" s="1429"/>
      <c r="L15" s="1429"/>
      <c r="M15" s="1429"/>
      <c r="N15" s="1429"/>
      <c r="O15" s="1429"/>
      <c r="P15" s="1429"/>
      <c r="Q15" s="1429"/>
      <c r="R15" s="1429"/>
      <c r="S15" s="1429"/>
      <c r="T15" s="1429"/>
      <c r="U15" s="1429"/>
      <c r="V15" s="1429"/>
      <c r="W15" s="1429"/>
      <c r="X15" s="1429"/>
      <c r="Y15" s="1429"/>
      <c r="Z15" s="1429"/>
      <c r="AA15" s="1429"/>
      <c r="AB15" s="1429"/>
      <c r="AC15" s="1429"/>
      <c r="AD15" s="1429"/>
      <c r="AE15" s="1429"/>
      <c r="AF15" s="1429"/>
      <c r="AG15" s="1429"/>
      <c r="AH15" s="1429"/>
      <c r="AJ15" s="508"/>
      <c r="AK15" s="657"/>
      <c r="AL15" s="657"/>
      <c r="AM15" s="657"/>
      <c r="AN15" s="657"/>
      <c r="AO15" s="657"/>
      <c r="AP15" s="657"/>
      <c r="AQ15" s="657"/>
      <c r="AR15" s="657"/>
      <c r="AS15" s="657"/>
      <c r="AT15" s="657"/>
      <c r="AU15" s="657"/>
      <c r="AV15" s="657"/>
      <c r="AW15" s="657"/>
      <c r="AX15" s="657"/>
      <c r="AY15" s="657"/>
    </row>
    <row r="16" spans="1:51" s="308" customFormat="1" ht="14.25" customHeight="1" x14ac:dyDescent="0.25">
      <c r="A16" s="1454" t="s">
        <v>12</v>
      </c>
      <c r="B16" s="1454"/>
      <c r="C16" s="1454"/>
      <c r="D16" s="1454"/>
      <c r="E16" s="1454"/>
      <c r="F16" s="1454"/>
      <c r="G16" s="1454"/>
      <c r="H16" s="1454"/>
      <c r="I16" s="1454"/>
      <c r="J16" s="1454"/>
      <c r="K16" s="1454"/>
      <c r="L16" s="1454"/>
      <c r="M16" s="1454"/>
      <c r="N16" s="1454"/>
      <c r="O16" s="1454"/>
      <c r="P16" s="1454"/>
      <c r="Q16" s="1454"/>
      <c r="R16" s="1454"/>
      <c r="S16" s="1454"/>
      <c r="T16" s="1454"/>
      <c r="U16" s="1454"/>
      <c r="V16" s="1454"/>
      <c r="W16" s="1454"/>
      <c r="X16" s="1454"/>
      <c r="Y16" s="1454"/>
      <c r="Z16" s="1454"/>
      <c r="AA16" s="1454"/>
      <c r="AB16" s="1454"/>
      <c r="AC16" s="1454"/>
      <c r="AD16" s="1454"/>
      <c r="AE16" s="1454"/>
      <c r="AF16" s="1454"/>
      <c r="AG16" s="1454"/>
      <c r="AH16" s="1454"/>
      <c r="AJ16" s="512"/>
    </row>
    <row r="17" spans="1:51" s="308" customFormat="1" ht="27.75" hidden="1" customHeight="1" x14ac:dyDescent="0.25">
      <c r="A17" s="1454" t="s">
        <v>13</v>
      </c>
      <c r="B17" s="1454"/>
      <c r="C17" s="1454"/>
      <c r="D17" s="1454"/>
      <c r="E17" s="1454"/>
      <c r="F17" s="1454"/>
      <c r="G17" s="1454"/>
      <c r="H17" s="1454"/>
      <c r="I17" s="1454"/>
      <c r="J17" s="1454"/>
      <c r="K17" s="1454"/>
      <c r="L17" s="1454"/>
      <c r="M17" s="1454"/>
      <c r="N17" s="1454"/>
      <c r="O17" s="1454"/>
      <c r="P17" s="1454"/>
      <c r="Q17" s="1454"/>
      <c r="R17" s="1454"/>
      <c r="S17" s="1454"/>
      <c r="T17" s="1454"/>
      <c r="U17" s="1454"/>
      <c r="V17" s="1454"/>
      <c r="W17" s="1454"/>
      <c r="X17" s="1454"/>
      <c r="Y17" s="1454"/>
      <c r="Z17" s="1454"/>
      <c r="AA17" s="1454"/>
      <c r="AB17" s="1454"/>
      <c r="AC17" s="1454"/>
      <c r="AD17" s="1454"/>
      <c r="AE17" s="1454"/>
      <c r="AF17" s="1454"/>
      <c r="AG17" s="1454"/>
      <c r="AH17" s="1454"/>
      <c r="AJ17" s="512"/>
    </row>
    <row r="18" spans="1:51" ht="19.5" customHeight="1" x14ac:dyDescent="0.25">
      <c r="AJ18" s="652"/>
    </row>
    <row r="19" spans="1:51" s="308" customFormat="1" ht="18" customHeight="1" x14ac:dyDescent="0.25">
      <c r="A19" s="1428" t="s">
        <v>14</v>
      </c>
      <c r="B19" s="1428"/>
      <c r="C19" s="1428"/>
      <c r="D19" s="1428"/>
      <c r="E19" s="1428"/>
      <c r="F19" s="1428"/>
      <c r="G19" s="1428"/>
      <c r="H19" s="1428"/>
      <c r="I19" s="1428"/>
      <c r="J19" s="1428"/>
      <c r="K19" s="1428"/>
      <c r="L19" s="1428"/>
      <c r="M19" s="1428"/>
      <c r="N19" s="1428"/>
      <c r="O19" s="1428"/>
      <c r="P19" s="1428"/>
      <c r="Q19" s="1428"/>
      <c r="R19" s="1428"/>
      <c r="S19" s="1428"/>
      <c r="T19" s="1428"/>
      <c r="U19" s="1428"/>
      <c r="V19" s="1428"/>
      <c r="W19" s="1428"/>
      <c r="X19" s="1428"/>
      <c r="Y19" s="1428"/>
      <c r="Z19" s="1428"/>
      <c r="AA19" s="1428"/>
      <c r="AB19" s="1428"/>
      <c r="AC19" s="1428"/>
      <c r="AD19" s="1428"/>
      <c r="AE19" s="1428"/>
      <c r="AF19" s="1428"/>
      <c r="AG19" s="1428"/>
      <c r="AH19" s="1428"/>
      <c r="AJ19" s="512"/>
    </row>
    <row r="20" spans="1:51" s="308" customFormat="1" ht="11.25" customHeight="1" x14ac:dyDescent="0.25">
      <c r="A20" s="326"/>
      <c r="B20" s="326"/>
      <c r="C20" s="326"/>
      <c r="D20" s="326"/>
      <c r="E20" s="326"/>
      <c r="F20" s="326"/>
      <c r="G20" s="326"/>
      <c r="H20" s="326"/>
      <c r="I20" s="326"/>
      <c r="J20" s="326"/>
      <c r="K20" s="326"/>
      <c r="L20" s="326"/>
      <c r="M20" s="326"/>
      <c r="N20" s="326"/>
      <c r="O20" s="326"/>
      <c r="P20" s="326"/>
      <c r="Q20" s="326"/>
      <c r="R20" s="326"/>
      <c r="S20" s="326"/>
      <c r="T20" s="326"/>
      <c r="U20" s="326"/>
      <c r="V20" s="326"/>
      <c r="W20" s="326"/>
      <c r="X20" s="326"/>
      <c r="Y20" s="326"/>
      <c r="Z20" s="326"/>
      <c r="AA20" s="326"/>
      <c r="AB20" s="326"/>
      <c r="AC20" s="326"/>
      <c r="AD20" s="326"/>
      <c r="AE20" s="326"/>
      <c r="AF20" s="326"/>
      <c r="AG20" s="326"/>
      <c r="AH20" s="326"/>
      <c r="AJ20" s="508"/>
      <c r="AK20" s="307"/>
      <c r="AL20" s="307"/>
      <c r="AM20" s="307"/>
      <c r="AN20" s="307"/>
      <c r="AO20" s="307"/>
      <c r="AP20" s="307"/>
      <c r="AQ20" s="307"/>
      <c r="AR20" s="307"/>
      <c r="AS20" s="307"/>
      <c r="AT20" s="307"/>
      <c r="AU20" s="307"/>
      <c r="AV20" s="307"/>
      <c r="AW20" s="307"/>
      <c r="AX20" s="307"/>
      <c r="AY20" s="307"/>
    </row>
    <row r="21" spans="1:51" s="305" customFormat="1" ht="15" customHeight="1" x14ac:dyDescent="0.25">
      <c r="A21" s="1455" t="s">
        <v>15</v>
      </c>
      <c r="B21" s="1455"/>
      <c r="C21" s="1455"/>
      <c r="D21" s="1455"/>
      <c r="E21" s="1455"/>
      <c r="F21" s="1455"/>
      <c r="G21" s="1455"/>
      <c r="H21" s="1455"/>
      <c r="I21" s="1455"/>
      <c r="J21" s="1455"/>
      <c r="K21" s="1455"/>
      <c r="L21" s="1455"/>
      <c r="M21" s="1455"/>
      <c r="N21" s="1455"/>
      <c r="O21" s="1455"/>
      <c r="P21" s="1455"/>
      <c r="Q21" s="1455"/>
      <c r="R21" s="1455"/>
      <c r="S21" s="1455"/>
      <c r="T21" s="1455"/>
      <c r="U21" s="1455"/>
      <c r="V21" s="1455"/>
      <c r="W21" s="1455"/>
      <c r="X21" s="1455"/>
      <c r="Y21" s="1455"/>
      <c r="Z21" s="1455"/>
      <c r="AA21" s="1455"/>
      <c r="AB21" s="1455"/>
      <c r="AC21" s="1455"/>
      <c r="AD21" s="1455"/>
      <c r="AE21" s="1455"/>
      <c r="AF21" s="1455"/>
      <c r="AG21" s="1455"/>
      <c r="AH21" s="1455"/>
      <c r="AJ21" s="651"/>
    </row>
    <row r="22" spans="1:51" s="308" customFormat="1" ht="11.25" customHeight="1" x14ac:dyDescent="0.25">
      <c r="A22" s="326"/>
      <c r="B22" s="326"/>
      <c r="C22" s="326"/>
      <c r="D22" s="326"/>
      <c r="E22" s="326"/>
      <c r="F22" s="326"/>
      <c r="G22" s="326"/>
      <c r="H22" s="326"/>
      <c r="I22" s="326"/>
      <c r="J22" s="326"/>
      <c r="K22" s="326"/>
      <c r="L22" s="326"/>
      <c r="M22" s="326"/>
      <c r="N22" s="326"/>
      <c r="O22" s="326"/>
      <c r="P22" s="326"/>
      <c r="Q22" s="326"/>
      <c r="R22" s="326"/>
      <c r="S22" s="326"/>
      <c r="T22" s="326"/>
      <c r="U22" s="326"/>
      <c r="V22" s="326"/>
      <c r="W22" s="326"/>
      <c r="X22" s="326"/>
      <c r="Y22" s="326"/>
      <c r="Z22" s="326"/>
      <c r="AA22" s="326"/>
      <c r="AB22" s="326"/>
      <c r="AC22" s="326"/>
      <c r="AD22" s="326"/>
      <c r="AE22" s="326"/>
      <c r="AF22" s="326"/>
      <c r="AG22" s="326"/>
      <c r="AH22" s="326"/>
      <c r="AJ22" s="508"/>
      <c r="AK22" s="307"/>
      <c r="AL22" s="307"/>
      <c r="AM22" s="307"/>
      <c r="AN22" s="307"/>
      <c r="AO22" s="307"/>
      <c r="AP22" s="307"/>
      <c r="AQ22" s="307"/>
      <c r="AR22" s="307"/>
      <c r="AS22" s="307"/>
      <c r="AT22" s="307"/>
      <c r="AU22" s="307"/>
      <c r="AV22" s="307"/>
      <c r="AW22" s="307"/>
      <c r="AX22" s="307"/>
      <c r="AY22" s="307"/>
    </row>
    <row r="23" spans="1:51" s="308" customFormat="1" ht="30.75" customHeight="1" x14ac:dyDescent="0.25">
      <c r="A23" s="1429" t="s">
        <v>16</v>
      </c>
      <c r="B23" s="1429"/>
      <c r="C23" s="1429"/>
      <c r="D23" s="1429"/>
      <c r="E23" s="1429"/>
      <c r="F23" s="1429"/>
      <c r="G23" s="1429"/>
      <c r="H23" s="1429"/>
      <c r="I23" s="1429"/>
      <c r="J23" s="1429"/>
      <c r="K23" s="1429"/>
      <c r="L23" s="1429"/>
      <c r="M23" s="1429"/>
      <c r="N23" s="1429"/>
      <c r="O23" s="1429"/>
      <c r="P23" s="1429"/>
      <c r="Q23" s="1429"/>
      <c r="R23" s="1429"/>
      <c r="S23" s="1429"/>
      <c r="T23" s="1429"/>
      <c r="U23" s="1429"/>
      <c r="V23" s="1429"/>
      <c r="W23" s="1429"/>
      <c r="X23" s="1429"/>
      <c r="Y23" s="1429"/>
      <c r="Z23" s="1429"/>
      <c r="AA23" s="1429"/>
      <c r="AB23" s="1429"/>
      <c r="AC23" s="1429"/>
      <c r="AD23" s="1429"/>
      <c r="AE23" s="1429"/>
      <c r="AF23" s="1429"/>
      <c r="AG23" s="1429"/>
      <c r="AH23" s="1429"/>
      <c r="AJ23" s="512"/>
    </row>
    <row r="24" spans="1:51" s="308" customFormat="1" ht="11.25" customHeight="1" x14ac:dyDescent="0.25">
      <c r="A24" s="326"/>
      <c r="B24" s="326"/>
      <c r="C24" s="326"/>
      <c r="D24" s="326"/>
      <c r="E24" s="326"/>
      <c r="F24" s="326"/>
      <c r="G24" s="326"/>
      <c r="H24" s="326"/>
      <c r="I24" s="326"/>
      <c r="J24" s="326"/>
      <c r="K24" s="326"/>
      <c r="L24" s="326"/>
      <c r="M24" s="326"/>
      <c r="N24" s="326"/>
      <c r="O24" s="326"/>
      <c r="P24" s="326"/>
      <c r="Q24" s="326"/>
      <c r="R24" s="326"/>
      <c r="S24" s="326"/>
      <c r="T24" s="326"/>
      <c r="U24" s="326"/>
      <c r="V24" s="326"/>
      <c r="W24" s="326"/>
      <c r="X24" s="326"/>
      <c r="Y24" s="326"/>
      <c r="Z24" s="326"/>
      <c r="AA24" s="326"/>
      <c r="AB24" s="326"/>
      <c r="AC24" s="326"/>
      <c r="AD24" s="326"/>
      <c r="AE24" s="326"/>
      <c r="AF24" s="326"/>
      <c r="AG24" s="326"/>
      <c r="AH24" s="326"/>
      <c r="AJ24" s="508"/>
      <c r="AK24" s="307"/>
      <c r="AL24" s="307"/>
      <c r="AM24" s="307"/>
      <c r="AN24" s="307"/>
      <c r="AO24" s="307"/>
      <c r="AP24" s="307"/>
      <c r="AQ24" s="307"/>
      <c r="AR24" s="307"/>
      <c r="AS24" s="307"/>
      <c r="AT24" s="307"/>
      <c r="AU24" s="307"/>
      <c r="AV24" s="307"/>
      <c r="AW24" s="307"/>
      <c r="AX24" s="307"/>
      <c r="AY24" s="307"/>
    </row>
    <row r="25" spans="1:51" s="308" customFormat="1" ht="15" customHeight="1" x14ac:dyDescent="0.25">
      <c r="A25" s="1429" t="s">
        <v>17</v>
      </c>
      <c r="B25" s="1429"/>
      <c r="C25" s="1429"/>
      <c r="D25" s="1429"/>
      <c r="E25" s="1429"/>
      <c r="F25" s="1429"/>
      <c r="G25" s="1429"/>
      <c r="H25" s="1429"/>
      <c r="I25" s="1429"/>
      <c r="J25" s="1429"/>
      <c r="K25" s="1429"/>
      <c r="L25" s="1429"/>
      <c r="M25" s="1429"/>
      <c r="N25" s="1429"/>
      <c r="O25" s="1429"/>
      <c r="P25" s="1429"/>
      <c r="Q25" s="1429"/>
      <c r="R25" s="1429"/>
      <c r="S25" s="1429"/>
      <c r="T25" s="1429"/>
      <c r="U25" s="1429"/>
      <c r="V25" s="1429"/>
      <c r="W25" s="1429"/>
      <c r="X25" s="1429"/>
      <c r="Y25" s="1429"/>
      <c r="Z25" s="1429"/>
      <c r="AA25" s="1429"/>
      <c r="AB25" s="1429"/>
      <c r="AC25" s="1429"/>
      <c r="AD25" s="1429"/>
      <c r="AE25" s="1429"/>
      <c r="AF25" s="1429"/>
      <c r="AG25" s="1429"/>
      <c r="AH25" s="1429"/>
      <c r="AJ25" s="512"/>
    </row>
    <row r="26" spans="1:51" s="308" customFormat="1" ht="11.25" customHeight="1" x14ac:dyDescent="0.25">
      <c r="A26" s="326"/>
      <c r="B26" s="326"/>
      <c r="C26" s="326"/>
      <c r="D26" s="326"/>
      <c r="E26" s="326"/>
      <c r="F26" s="326"/>
      <c r="G26" s="326"/>
      <c r="H26" s="326"/>
      <c r="I26" s="326"/>
      <c r="J26" s="326"/>
      <c r="K26" s="326"/>
      <c r="L26" s="326"/>
      <c r="M26" s="326"/>
      <c r="N26" s="326"/>
      <c r="O26" s="326"/>
      <c r="P26" s="326"/>
      <c r="Q26" s="326"/>
      <c r="R26" s="326"/>
      <c r="S26" s="326"/>
      <c r="T26" s="326"/>
      <c r="U26" s="326"/>
      <c r="V26" s="326"/>
      <c r="W26" s="326"/>
      <c r="X26" s="326"/>
      <c r="Y26" s="326"/>
      <c r="Z26" s="326"/>
      <c r="AA26" s="326"/>
      <c r="AB26" s="326"/>
      <c r="AC26" s="326"/>
      <c r="AD26" s="326"/>
      <c r="AE26" s="326"/>
      <c r="AF26" s="326"/>
      <c r="AG26" s="326"/>
      <c r="AH26" s="326"/>
      <c r="AJ26" s="508"/>
      <c r="AK26" s="307"/>
      <c r="AL26" s="307"/>
      <c r="AM26" s="307"/>
      <c r="AN26" s="307"/>
      <c r="AO26" s="307"/>
      <c r="AP26" s="307"/>
      <c r="AQ26" s="307"/>
      <c r="AR26" s="307"/>
      <c r="AS26" s="307"/>
      <c r="AT26" s="307"/>
      <c r="AU26" s="307"/>
      <c r="AV26" s="307"/>
      <c r="AW26" s="307"/>
      <c r="AX26" s="307"/>
      <c r="AY26" s="307"/>
    </row>
    <row r="27" spans="1:51" s="308" customFormat="1" ht="15" customHeight="1" x14ac:dyDescent="0.25">
      <c r="A27" s="1429" t="s">
        <v>18</v>
      </c>
      <c r="B27" s="1429"/>
      <c r="C27" s="1429"/>
      <c r="D27" s="1429"/>
      <c r="E27" s="1429"/>
      <c r="F27" s="1429"/>
      <c r="G27" s="1429"/>
      <c r="H27" s="1429"/>
      <c r="I27" s="1429"/>
      <c r="J27" s="1429"/>
      <c r="K27" s="1429"/>
      <c r="L27" s="1429"/>
      <c r="M27" s="1429"/>
      <c r="N27" s="1429"/>
      <c r="O27" s="1429"/>
      <c r="P27" s="1429"/>
      <c r="Q27" s="1429"/>
      <c r="R27" s="1429"/>
      <c r="S27" s="1429"/>
      <c r="T27" s="1429"/>
      <c r="U27" s="1429"/>
      <c r="V27" s="1429"/>
      <c r="W27" s="1429"/>
      <c r="X27" s="1429"/>
      <c r="Y27" s="1429"/>
      <c r="Z27" s="1429"/>
      <c r="AA27" s="1429"/>
      <c r="AB27" s="1429"/>
      <c r="AC27" s="1429"/>
      <c r="AD27" s="1429"/>
      <c r="AE27" s="1429"/>
      <c r="AF27" s="1429"/>
      <c r="AG27" s="1429"/>
      <c r="AH27" s="1429"/>
      <c r="AJ27" s="512"/>
    </row>
    <row r="28" spans="1:51" s="308" customFormat="1" ht="11.25" customHeight="1" x14ac:dyDescent="0.25">
      <c r="A28" s="326"/>
      <c r="B28" s="326"/>
      <c r="C28" s="326"/>
      <c r="D28" s="326"/>
      <c r="E28" s="326"/>
      <c r="F28" s="326"/>
      <c r="G28" s="326"/>
      <c r="H28" s="326"/>
      <c r="I28" s="326"/>
      <c r="J28" s="326"/>
      <c r="K28" s="326"/>
      <c r="L28" s="326"/>
      <c r="M28" s="326"/>
      <c r="N28" s="326"/>
      <c r="O28" s="326"/>
      <c r="P28" s="326"/>
      <c r="Q28" s="326"/>
      <c r="R28" s="326"/>
      <c r="S28" s="326"/>
      <c r="T28" s="326"/>
      <c r="U28" s="326"/>
      <c r="V28" s="326"/>
      <c r="W28" s="326"/>
      <c r="X28" s="326"/>
      <c r="Y28" s="326"/>
      <c r="Z28" s="326"/>
      <c r="AA28" s="326"/>
      <c r="AB28" s="326"/>
      <c r="AC28" s="326"/>
      <c r="AD28" s="326"/>
      <c r="AE28" s="326"/>
      <c r="AF28" s="326"/>
      <c r="AG28" s="326"/>
      <c r="AH28" s="326"/>
      <c r="AJ28" s="508"/>
      <c r="AK28" s="307"/>
      <c r="AL28" s="307"/>
      <c r="AM28" s="307"/>
      <c r="AN28" s="307"/>
      <c r="AO28" s="307"/>
      <c r="AP28" s="307"/>
      <c r="AQ28" s="307"/>
      <c r="AR28" s="307"/>
      <c r="AS28" s="307"/>
      <c r="AT28" s="307"/>
      <c r="AU28" s="307"/>
      <c r="AV28" s="307"/>
      <c r="AW28" s="307"/>
      <c r="AX28" s="307"/>
      <c r="AY28" s="307"/>
    </row>
    <row r="29" spans="1:51" s="312" customFormat="1" ht="27.75" customHeight="1" x14ac:dyDescent="0.25">
      <c r="A29" s="1429" t="s">
        <v>19</v>
      </c>
      <c r="B29" s="1429"/>
      <c r="C29" s="1429"/>
      <c r="D29" s="1429"/>
      <c r="E29" s="1429"/>
      <c r="F29" s="1429"/>
      <c r="G29" s="1429"/>
      <c r="H29" s="1429"/>
      <c r="I29" s="1429"/>
      <c r="J29" s="1429"/>
      <c r="K29" s="1429"/>
      <c r="L29" s="1429"/>
      <c r="M29" s="1429"/>
      <c r="N29" s="1429"/>
      <c r="O29" s="1429"/>
      <c r="P29" s="1429"/>
      <c r="Q29" s="1429"/>
      <c r="R29" s="1429"/>
      <c r="S29" s="1429"/>
      <c r="T29" s="1429"/>
      <c r="U29" s="1429"/>
      <c r="V29" s="1429"/>
      <c r="W29" s="1429"/>
      <c r="X29" s="1429"/>
      <c r="Y29" s="1429"/>
      <c r="Z29" s="1429"/>
      <c r="AA29" s="1429"/>
      <c r="AB29" s="1429"/>
      <c r="AC29" s="1429"/>
      <c r="AD29" s="1429"/>
      <c r="AE29" s="1429"/>
      <c r="AF29" s="1429"/>
      <c r="AG29" s="1429"/>
      <c r="AH29" s="1429"/>
      <c r="AJ29" s="509"/>
      <c r="AK29" s="511"/>
      <c r="AL29" s="511"/>
      <c r="AM29" s="511"/>
      <c r="AN29" s="511"/>
      <c r="AO29" s="511"/>
      <c r="AP29" s="511"/>
      <c r="AQ29" s="511"/>
      <c r="AR29" s="511"/>
      <c r="AS29" s="511"/>
      <c r="AT29" s="511"/>
      <c r="AU29" s="511"/>
      <c r="AV29" s="511"/>
      <c r="AW29" s="511"/>
      <c r="AX29" s="511"/>
    </row>
    <row r="30" spans="1:51" s="308" customFormat="1" ht="11.25" customHeight="1" x14ac:dyDescent="0.25">
      <c r="A30" s="326"/>
      <c r="B30" s="326"/>
      <c r="C30" s="326"/>
      <c r="D30" s="326"/>
      <c r="E30" s="326"/>
      <c r="F30" s="326"/>
      <c r="G30" s="326"/>
      <c r="H30" s="326"/>
      <c r="I30" s="326"/>
      <c r="J30" s="326"/>
      <c r="K30" s="326"/>
      <c r="L30" s="326"/>
      <c r="M30" s="326"/>
      <c r="N30" s="326"/>
      <c r="O30" s="326"/>
      <c r="P30" s="326"/>
      <c r="Q30" s="326"/>
      <c r="R30" s="326"/>
      <c r="S30" s="326"/>
      <c r="T30" s="326"/>
      <c r="U30" s="326"/>
      <c r="V30" s="326"/>
      <c r="W30" s="326"/>
      <c r="X30" s="326"/>
      <c r="Y30" s="326"/>
      <c r="Z30" s="326"/>
      <c r="AA30" s="326"/>
      <c r="AB30" s="326"/>
      <c r="AC30" s="326"/>
      <c r="AD30" s="326"/>
      <c r="AE30" s="326"/>
      <c r="AF30" s="326"/>
      <c r="AG30" s="326"/>
      <c r="AH30" s="326"/>
      <c r="AJ30" s="508"/>
      <c r="AK30" s="307"/>
      <c r="AL30" s="307"/>
      <c r="AM30" s="307"/>
      <c r="AN30" s="307"/>
      <c r="AO30" s="307"/>
      <c r="AP30" s="307"/>
      <c r="AQ30" s="307"/>
      <c r="AR30" s="307"/>
      <c r="AS30" s="307"/>
      <c r="AT30" s="307"/>
      <c r="AU30" s="307"/>
      <c r="AV30" s="307"/>
      <c r="AW30" s="307"/>
      <c r="AX30" s="307"/>
      <c r="AY30" s="307"/>
    </row>
    <row r="31" spans="1:51" s="305" customFormat="1" ht="15" customHeight="1" x14ac:dyDescent="0.25">
      <c r="A31" s="1455" t="s">
        <v>20</v>
      </c>
      <c r="B31" s="1455"/>
      <c r="C31" s="1455"/>
      <c r="D31" s="1455"/>
      <c r="E31" s="1455"/>
      <c r="F31" s="1455"/>
      <c r="G31" s="1455"/>
      <c r="H31" s="1455"/>
      <c r="I31" s="1455"/>
      <c r="J31" s="1455"/>
      <c r="K31" s="1455"/>
      <c r="L31" s="1455"/>
      <c r="M31" s="1455"/>
      <c r="N31" s="1455"/>
      <c r="O31" s="1455"/>
      <c r="P31" s="1455"/>
      <c r="Q31" s="1455"/>
      <c r="R31" s="1455"/>
      <c r="S31" s="1455"/>
      <c r="T31" s="1455"/>
      <c r="U31" s="1455"/>
      <c r="V31" s="1455"/>
      <c r="W31" s="1455"/>
      <c r="X31" s="1455"/>
      <c r="Y31" s="1455"/>
      <c r="Z31" s="1455"/>
      <c r="AA31" s="1455"/>
      <c r="AB31" s="1455"/>
      <c r="AC31" s="1455"/>
      <c r="AD31" s="1455"/>
      <c r="AE31" s="1455"/>
      <c r="AF31" s="1455"/>
      <c r="AG31" s="1455"/>
      <c r="AH31" s="1455"/>
      <c r="AJ31" s="651"/>
    </row>
    <row r="32" spans="1:51" s="308" customFormat="1" ht="11.25" customHeight="1" x14ac:dyDescent="0.25">
      <c r="A32" s="326"/>
      <c r="B32" s="326"/>
      <c r="C32" s="326"/>
      <c r="D32" s="326"/>
      <c r="E32" s="326"/>
      <c r="F32" s="326"/>
      <c r="G32" s="326"/>
      <c r="H32" s="326"/>
      <c r="I32" s="326"/>
      <c r="J32" s="326"/>
      <c r="K32" s="326"/>
      <c r="L32" s="326"/>
      <c r="M32" s="326"/>
      <c r="N32" s="326"/>
      <c r="O32" s="326"/>
      <c r="P32" s="326"/>
      <c r="Q32" s="326"/>
      <c r="R32" s="326"/>
      <c r="S32" s="326"/>
      <c r="T32" s="326"/>
      <c r="U32" s="326"/>
      <c r="V32" s="326"/>
      <c r="W32" s="326"/>
      <c r="X32" s="326"/>
      <c r="Y32" s="326"/>
      <c r="Z32" s="326"/>
      <c r="AA32" s="326"/>
      <c r="AB32" s="326"/>
      <c r="AC32" s="326"/>
      <c r="AD32" s="326"/>
      <c r="AE32" s="326"/>
      <c r="AF32" s="326"/>
      <c r="AG32" s="326"/>
      <c r="AH32" s="326"/>
      <c r="AJ32" s="508"/>
      <c r="AK32" s="307"/>
      <c r="AL32" s="307"/>
      <c r="AM32" s="307"/>
      <c r="AN32" s="307"/>
      <c r="AO32" s="307"/>
      <c r="AP32" s="307"/>
      <c r="AQ32" s="307"/>
      <c r="AR32" s="307"/>
      <c r="AS32" s="307"/>
      <c r="AT32" s="307"/>
      <c r="AU32" s="307"/>
      <c r="AV32" s="307"/>
      <c r="AW32" s="307"/>
      <c r="AX32" s="307"/>
      <c r="AY32" s="307"/>
    </row>
    <row r="33" spans="1:51" s="308" customFormat="1" ht="15" customHeight="1" x14ac:dyDescent="0.25">
      <c r="A33" s="1456" t="s">
        <v>21</v>
      </c>
      <c r="B33" s="1456"/>
      <c r="C33" s="1456"/>
      <c r="D33" s="1456"/>
      <c r="E33" s="1456"/>
      <c r="F33" s="1456"/>
      <c r="G33" s="1456"/>
      <c r="H33" s="1456"/>
      <c r="I33" s="1456"/>
      <c r="J33" s="1456"/>
      <c r="K33" s="1456"/>
      <c r="L33" s="1456"/>
      <c r="M33" s="1456"/>
      <c r="N33" s="1456"/>
      <c r="O33" s="1456"/>
      <c r="P33" s="1456"/>
      <c r="Q33" s="1456"/>
      <c r="R33" s="1456"/>
      <c r="S33" s="1456"/>
      <c r="T33" s="1456"/>
      <c r="U33" s="1456"/>
      <c r="V33" s="1456"/>
      <c r="W33" s="1456"/>
      <c r="X33" s="1456"/>
      <c r="Y33" s="1456"/>
      <c r="Z33" s="1456"/>
      <c r="AA33" s="1456"/>
      <c r="AB33" s="1456"/>
      <c r="AC33" s="1456"/>
      <c r="AD33" s="1456"/>
      <c r="AE33" s="1456"/>
      <c r="AF33" s="1456"/>
      <c r="AG33" s="1456"/>
      <c r="AH33" s="1456"/>
      <c r="AJ33" s="1427" t="s">
        <v>22</v>
      </c>
      <c r="AK33" s="1427"/>
      <c r="AL33" s="1427"/>
      <c r="AM33" s="1427"/>
      <c r="AN33" s="1427"/>
      <c r="AO33" s="1427"/>
      <c r="AP33" s="1427"/>
    </row>
    <row r="34" spans="1:51" s="308" customFormat="1" ht="11.25" customHeight="1" x14ac:dyDescent="0.25">
      <c r="A34" s="326"/>
      <c r="B34" s="326"/>
      <c r="C34" s="32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6"/>
      <c r="AF34" s="326"/>
      <c r="AG34" s="326"/>
      <c r="AH34" s="326"/>
      <c r="AJ34" s="1427"/>
      <c r="AK34" s="1427"/>
      <c r="AL34" s="1427"/>
      <c r="AM34" s="1427"/>
      <c r="AN34" s="1427"/>
      <c r="AO34" s="1427"/>
      <c r="AP34" s="1427"/>
      <c r="AQ34" s="307"/>
      <c r="AR34" s="307"/>
      <c r="AS34" s="307"/>
      <c r="AT34" s="307"/>
      <c r="AU34" s="307"/>
      <c r="AV34" s="307"/>
      <c r="AW34" s="307"/>
      <c r="AX34" s="307"/>
      <c r="AY34" s="307"/>
    </row>
    <row r="35" spans="1:51" s="308" customFormat="1" ht="15" customHeight="1" x14ac:dyDescent="0.25">
      <c r="A35" s="1429" t="s">
        <v>23</v>
      </c>
      <c r="B35" s="1429"/>
      <c r="C35" s="1429"/>
      <c r="D35" s="1429"/>
      <c r="E35" s="1429"/>
      <c r="F35" s="1429"/>
      <c r="G35" s="1429"/>
      <c r="H35" s="1429"/>
      <c r="I35" s="1429"/>
      <c r="J35" s="1429"/>
      <c r="K35" s="1429"/>
      <c r="L35" s="1429"/>
      <c r="M35" s="1429"/>
      <c r="N35" s="1429"/>
      <c r="O35" s="1429"/>
      <c r="P35" s="1429"/>
      <c r="Q35" s="1429"/>
      <c r="R35" s="1429"/>
      <c r="S35" s="1429"/>
      <c r="T35" s="1429"/>
      <c r="U35" s="1429"/>
      <c r="V35" s="1429"/>
      <c r="W35" s="1429"/>
      <c r="X35" s="1429"/>
      <c r="Y35" s="1429"/>
      <c r="Z35" s="1429"/>
      <c r="AA35" s="1429"/>
      <c r="AB35" s="1429"/>
      <c r="AC35" s="1429"/>
      <c r="AD35" s="1429"/>
      <c r="AE35" s="1429"/>
      <c r="AF35" s="1429"/>
      <c r="AG35" s="1429"/>
      <c r="AH35" s="1429"/>
      <c r="AJ35" s="1427"/>
      <c r="AK35" s="1427"/>
      <c r="AL35" s="1427"/>
      <c r="AM35" s="1427"/>
      <c r="AN35" s="1427"/>
      <c r="AO35" s="1427"/>
      <c r="AP35" s="1427"/>
    </row>
    <row r="36" spans="1:51" s="308" customFormat="1" ht="11.25" customHeight="1" x14ac:dyDescent="0.25">
      <c r="A36" s="326"/>
      <c r="B36" s="326"/>
      <c r="C36" s="326"/>
      <c r="D36" s="326"/>
      <c r="E36" s="326"/>
      <c r="F36" s="326"/>
      <c r="G36" s="326"/>
      <c r="H36" s="326"/>
      <c r="I36" s="326"/>
      <c r="J36" s="326"/>
      <c r="K36" s="326"/>
      <c r="L36" s="326"/>
      <c r="M36" s="326"/>
      <c r="N36" s="326"/>
      <c r="O36" s="326"/>
      <c r="P36" s="326"/>
      <c r="Q36" s="326"/>
      <c r="R36" s="326"/>
      <c r="S36" s="326"/>
      <c r="T36" s="326"/>
      <c r="U36" s="326"/>
      <c r="V36" s="326"/>
      <c r="W36" s="326"/>
      <c r="X36" s="326"/>
      <c r="Y36" s="326"/>
      <c r="Z36" s="326"/>
      <c r="AA36" s="326"/>
      <c r="AB36" s="326"/>
      <c r="AC36" s="326"/>
      <c r="AD36" s="326"/>
      <c r="AE36" s="326"/>
      <c r="AF36" s="326"/>
      <c r="AG36" s="326"/>
      <c r="AH36" s="326"/>
      <c r="AJ36" s="651"/>
      <c r="AK36" s="307"/>
      <c r="AL36" s="307"/>
      <c r="AM36" s="307"/>
      <c r="AN36" s="307"/>
      <c r="AO36" s="307"/>
      <c r="AP36" s="307"/>
      <c r="AQ36" s="307"/>
      <c r="AR36" s="307"/>
      <c r="AS36" s="307"/>
      <c r="AT36" s="307"/>
      <c r="AU36" s="307"/>
      <c r="AV36" s="307"/>
      <c r="AW36" s="307"/>
      <c r="AX36" s="307"/>
      <c r="AY36" s="307"/>
    </row>
    <row r="37" spans="1:51" s="305" customFormat="1" ht="15" customHeight="1" x14ac:dyDescent="0.25">
      <c r="A37" s="1455" t="s">
        <v>24</v>
      </c>
      <c r="B37" s="1455"/>
      <c r="C37" s="1455"/>
      <c r="D37" s="1455"/>
      <c r="E37" s="1455"/>
      <c r="F37" s="1455"/>
      <c r="G37" s="1455"/>
      <c r="H37" s="1455"/>
      <c r="I37" s="1455"/>
      <c r="J37" s="1455"/>
      <c r="K37" s="1455"/>
      <c r="L37" s="1455"/>
      <c r="M37" s="1455"/>
      <c r="N37" s="1455"/>
      <c r="O37" s="1455"/>
      <c r="P37" s="1455"/>
      <c r="Q37" s="1455"/>
      <c r="R37" s="1455"/>
      <c r="S37" s="1455"/>
      <c r="T37" s="1455"/>
      <c r="U37" s="1455"/>
      <c r="V37" s="1455"/>
      <c r="W37" s="1455"/>
      <c r="X37" s="1455"/>
      <c r="Y37" s="1455"/>
      <c r="Z37" s="1455"/>
      <c r="AA37" s="1455"/>
      <c r="AB37" s="1455"/>
      <c r="AC37" s="1455"/>
      <c r="AD37" s="1455"/>
      <c r="AE37" s="1455"/>
      <c r="AF37" s="1455"/>
      <c r="AG37" s="1455"/>
      <c r="AH37" s="1455"/>
      <c r="AJ37" s="651"/>
    </row>
    <row r="38" spans="1:51" s="308" customFormat="1" ht="11.25" customHeight="1" x14ac:dyDescent="0.25">
      <c r="A38" s="326"/>
      <c r="B38" s="326"/>
      <c r="C38" s="326"/>
      <c r="D38" s="326"/>
      <c r="E38" s="326"/>
      <c r="F38" s="326"/>
      <c r="G38" s="326"/>
      <c r="H38" s="326"/>
      <c r="I38" s="326"/>
      <c r="J38" s="326"/>
      <c r="K38" s="326"/>
      <c r="L38" s="326"/>
      <c r="M38" s="326"/>
      <c r="N38" s="326"/>
      <c r="O38" s="326"/>
      <c r="P38" s="326"/>
      <c r="Q38" s="326"/>
      <c r="R38" s="326"/>
      <c r="S38" s="326"/>
      <c r="T38" s="326"/>
      <c r="U38" s="326"/>
      <c r="V38" s="326"/>
      <c r="W38" s="326"/>
      <c r="X38" s="326"/>
      <c r="Y38" s="326"/>
      <c r="Z38" s="326"/>
      <c r="AA38" s="326"/>
      <c r="AB38" s="326"/>
      <c r="AC38" s="326"/>
      <c r="AD38" s="326"/>
      <c r="AE38" s="326"/>
      <c r="AF38" s="326"/>
      <c r="AG38" s="326"/>
      <c r="AH38" s="326"/>
      <c r="AJ38" s="508"/>
      <c r="AK38" s="307"/>
      <c r="AL38" s="307"/>
      <c r="AM38" s="307"/>
      <c r="AN38" s="307"/>
      <c r="AO38" s="307"/>
      <c r="AP38" s="307"/>
      <c r="AQ38" s="307"/>
      <c r="AR38" s="307"/>
      <c r="AS38" s="307"/>
      <c r="AT38" s="307"/>
      <c r="AU38" s="307"/>
      <c r="AV38" s="307"/>
      <c r="AW38" s="307"/>
      <c r="AX38" s="307"/>
      <c r="AY38" s="307"/>
    </row>
    <row r="39" spans="1:51" s="308" customFormat="1" ht="15" customHeight="1" x14ac:dyDescent="0.25">
      <c r="A39" s="1456" t="s">
        <v>21</v>
      </c>
      <c r="B39" s="1456"/>
      <c r="C39" s="1456"/>
      <c r="D39" s="1456"/>
      <c r="E39" s="1456"/>
      <c r="F39" s="1456"/>
      <c r="G39" s="1456"/>
      <c r="H39" s="1456"/>
      <c r="I39" s="1456"/>
      <c r="J39" s="1456"/>
      <c r="K39" s="1456"/>
      <c r="L39" s="1456"/>
      <c r="M39" s="1456"/>
      <c r="N39" s="1456"/>
      <c r="O39" s="1456"/>
      <c r="P39" s="1456"/>
      <c r="Q39" s="1456"/>
      <c r="R39" s="1456"/>
      <c r="S39" s="1456"/>
      <c r="T39" s="1456"/>
      <c r="U39" s="1456"/>
      <c r="V39" s="1456"/>
      <c r="W39" s="1456"/>
      <c r="X39" s="1456"/>
      <c r="Y39" s="1456"/>
      <c r="Z39" s="1456"/>
      <c r="AA39" s="1456"/>
      <c r="AB39" s="1456"/>
      <c r="AC39" s="1456"/>
      <c r="AD39" s="1456"/>
      <c r="AE39" s="1456"/>
      <c r="AF39" s="1456"/>
      <c r="AG39" s="1456"/>
      <c r="AH39" s="1456"/>
      <c r="AJ39" s="512"/>
    </row>
    <row r="40" spans="1:51" s="308" customFormat="1" ht="11.25" customHeight="1" x14ac:dyDescent="0.25">
      <c r="A40" s="326"/>
      <c r="B40" s="326"/>
      <c r="C40" s="326"/>
      <c r="D40" s="326"/>
      <c r="E40" s="326"/>
      <c r="F40" s="326"/>
      <c r="G40" s="326"/>
      <c r="H40" s="326"/>
      <c r="I40" s="326"/>
      <c r="J40" s="326"/>
      <c r="K40" s="326"/>
      <c r="L40" s="326"/>
      <c r="M40" s="326"/>
      <c r="N40" s="326"/>
      <c r="O40" s="326"/>
      <c r="P40" s="326"/>
      <c r="Q40" s="326"/>
      <c r="R40" s="326"/>
      <c r="S40" s="326"/>
      <c r="T40" s="326"/>
      <c r="U40" s="326"/>
      <c r="V40" s="326"/>
      <c r="W40" s="326"/>
      <c r="X40" s="326"/>
      <c r="Y40" s="326"/>
      <c r="Z40" s="326"/>
      <c r="AA40" s="326"/>
      <c r="AB40" s="326"/>
      <c r="AC40" s="326"/>
      <c r="AD40" s="326"/>
      <c r="AE40" s="326"/>
      <c r="AF40" s="326"/>
      <c r="AG40" s="326"/>
      <c r="AH40" s="326"/>
      <c r="AJ40" s="1427" t="s">
        <v>25</v>
      </c>
      <c r="AK40" s="1427"/>
      <c r="AL40" s="1427"/>
      <c r="AM40" s="1427"/>
      <c r="AN40" s="1427"/>
      <c r="AO40" s="1427"/>
      <c r="AP40" s="1427"/>
      <c r="AQ40" s="307"/>
      <c r="AR40" s="307"/>
      <c r="AS40" s="307"/>
      <c r="AT40" s="307"/>
      <c r="AU40" s="307"/>
      <c r="AV40" s="307"/>
      <c r="AW40" s="307"/>
      <c r="AX40" s="307"/>
      <c r="AY40" s="307"/>
    </row>
    <row r="41" spans="1:51" s="308" customFormat="1" ht="15" customHeight="1" x14ac:dyDescent="0.25">
      <c r="A41" s="1429" t="s">
        <v>26</v>
      </c>
      <c r="B41" s="1429"/>
      <c r="C41" s="1429"/>
      <c r="D41" s="1429"/>
      <c r="E41" s="1429"/>
      <c r="F41" s="1429"/>
      <c r="G41" s="1429"/>
      <c r="H41" s="1429"/>
      <c r="I41" s="1429"/>
      <c r="J41" s="1429"/>
      <c r="K41" s="1429"/>
      <c r="L41" s="1429"/>
      <c r="M41" s="1429"/>
      <c r="N41" s="1429"/>
      <c r="O41" s="1429"/>
      <c r="P41" s="1429"/>
      <c r="Q41" s="1429"/>
      <c r="R41" s="1429"/>
      <c r="S41" s="1429"/>
      <c r="T41" s="1429"/>
      <c r="U41" s="1429"/>
      <c r="V41" s="1429"/>
      <c r="W41" s="1429"/>
      <c r="X41" s="1429"/>
      <c r="Y41" s="1429"/>
      <c r="Z41" s="1429"/>
      <c r="AA41" s="1429"/>
      <c r="AB41" s="1429"/>
      <c r="AC41" s="1429"/>
      <c r="AD41" s="1429"/>
      <c r="AE41" s="1429"/>
      <c r="AF41" s="1429"/>
      <c r="AG41" s="1429"/>
      <c r="AH41" s="1429"/>
      <c r="AJ41" s="1427"/>
      <c r="AK41" s="1427"/>
      <c r="AL41" s="1427"/>
      <c r="AM41" s="1427"/>
      <c r="AN41" s="1427"/>
      <c r="AO41" s="1427"/>
      <c r="AP41" s="1427"/>
    </row>
    <row r="42" spans="1:51" s="308" customFormat="1" ht="11.25" customHeight="1" x14ac:dyDescent="0.25">
      <c r="A42" s="326"/>
      <c r="B42" s="326"/>
      <c r="C42" s="326"/>
      <c r="D42" s="326"/>
      <c r="E42" s="326"/>
      <c r="F42" s="326"/>
      <c r="G42" s="326"/>
      <c r="H42" s="326"/>
      <c r="I42" s="326"/>
      <c r="J42" s="326"/>
      <c r="K42" s="326"/>
      <c r="L42" s="326"/>
      <c r="M42" s="326"/>
      <c r="N42" s="326"/>
      <c r="O42" s="326"/>
      <c r="P42" s="326"/>
      <c r="Q42" s="326"/>
      <c r="R42" s="326"/>
      <c r="S42" s="326"/>
      <c r="T42" s="326"/>
      <c r="U42" s="326"/>
      <c r="V42" s="326"/>
      <c r="W42" s="326"/>
      <c r="X42" s="326"/>
      <c r="Y42" s="326"/>
      <c r="Z42" s="326"/>
      <c r="AA42" s="326"/>
      <c r="AB42" s="326"/>
      <c r="AC42" s="326"/>
      <c r="AD42" s="326"/>
      <c r="AE42" s="326"/>
      <c r="AF42" s="326"/>
      <c r="AG42" s="326"/>
      <c r="AH42" s="326"/>
      <c r="AJ42" s="1427"/>
      <c r="AK42" s="1427"/>
      <c r="AL42" s="1427"/>
      <c r="AM42" s="1427"/>
      <c r="AN42" s="1427"/>
      <c r="AO42" s="1427"/>
      <c r="AP42" s="1427"/>
      <c r="AQ42" s="307"/>
      <c r="AR42" s="307"/>
      <c r="AS42" s="307"/>
      <c r="AT42" s="307"/>
      <c r="AU42" s="307"/>
      <c r="AV42" s="307"/>
      <c r="AW42" s="307"/>
      <c r="AX42" s="307"/>
      <c r="AY42" s="307"/>
    </row>
    <row r="43" spans="1:51" ht="19.5" customHeight="1" x14ac:dyDescent="0.25">
      <c r="AJ43" s="652"/>
    </row>
    <row r="44" spans="1:51" s="512" customFormat="1" ht="18" customHeight="1" x14ac:dyDescent="0.25">
      <c r="A44" s="1428" t="s">
        <v>27</v>
      </c>
      <c r="B44" s="1428"/>
      <c r="C44" s="1428"/>
      <c r="D44" s="1428"/>
      <c r="E44" s="1428"/>
      <c r="F44" s="1428"/>
      <c r="G44" s="1428"/>
      <c r="H44" s="1428"/>
      <c r="I44" s="1428"/>
      <c r="J44" s="1428"/>
      <c r="K44" s="1428"/>
      <c r="L44" s="1428"/>
      <c r="M44" s="1428"/>
      <c r="N44" s="1428"/>
      <c r="O44" s="1428"/>
      <c r="P44" s="1428"/>
      <c r="Q44" s="1428"/>
      <c r="R44" s="1428"/>
      <c r="S44" s="1428"/>
      <c r="T44" s="1428"/>
      <c r="U44" s="1428"/>
      <c r="V44" s="1428"/>
      <c r="W44" s="1428"/>
      <c r="X44" s="1428"/>
      <c r="Y44" s="1428"/>
      <c r="Z44" s="1428"/>
      <c r="AA44" s="1428"/>
      <c r="AB44" s="1428"/>
      <c r="AC44" s="1428"/>
      <c r="AD44" s="1428"/>
      <c r="AE44" s="1428"/>
      <c r="AF44" s="1428"/>
      <c r="AG44" s="1428"/>
      <c r="AH44" s="1428"/>
    </row>
    <row r="45" spans="1:51" s="308" customFormat="1" ht="11.25" customHeight="1" x14ac:dyDescent="0.25">
      <c r="A45" s="326"/>
      <c r="B45" s="326"/>
      <c r="C45" s="326"/>
      <c r="D45" s="326"/>
      <c r="E45" s="326"/>
      <c r="F45" s="326"/>
      <c r="G45" s="326"/>
      <c r="H45" s="326"/>
      <c r="I45" s="326"/>
      <c r="J45" s="326"/>
      <c r="K45" s="326"/>
      <c r="L45" s="326"/>
      <c r="M45" s="326"/>
      <c r="N45" s="326"/>
      <c r="O45" s="326"/>
      <c r="P45" s="326"/>
      <c r="Q45" s="326"/>
      <c r="R45" s="326"/>
      <c r="S45" s="326"/>
      <c r="T45" s="326"/>
      <c r="U45" s="326"/>
      <c r="V45" s="326"/>
      <c r="W45" s="326"/>
      <c r="X45" s="326"/>
      <c r="Y45" s="326"/>
      <c r="Z45" s="326"/>
      <c r="AA45" s="326"/>
      <c r="AB45" s="326"/>
      <c r="AC45" s="326"/>
      <c r="AD45" s="326"/>
      <c r="AE45" s="326"/>
      <c r="AF45" s="326"/>
      <c r="AG45" s="326"/>
      <c r="AH45" s="326"/>
      <c r="AJ45" s="508"/>
      <c r="AK45" s="307"/>
      <c r="AL45" s="307"/>
      <c r="AM45" s="307"/>
      <c r="AN45" s="307"/>
      <c r="AO45" s="307"/>
      <c r="AP45" s="307"/>
      <c r="AQ45" s="307"/>
      <c r="AR45" s="307"/>
      <c r="AS45" s="307"/>
      <c r="AT45" s="307"/>
      <c r="AU45" s="307"/>
      <c r="AV45" s="307"/>
      <c r="AW45" s="307"/>
      <c r="AX45" s="307"/>
      <c r="AY45" s="307"/>
    </row>
    <row r="46" spans="1:51" s="308" customFormat="1" ht="15" customHeight="1" x14ac:dyDescent="0.25">
      <c r="A46" s="1456" t="s">
        <v>28</v>
      </c>
      <c r="B46" s="1456"/>
      <c r="C46" s="1456"/>
      <c r="D46" s="1456"/>
      <c r="E46" s="1456"/>
      <c r="F46" s="1456"/>
      <c r="G46" s="1456"/>
      <c r="H46" s="1456"/>
      <c r="I46" s="1456"/>
      <c r="J46" s="1456"/>
      <c r="K46" s="1456"/>
      <c r="L46" s="1456"/>
      <c r="M46" s="1456"/>
      <c r="N46" s="1456"/>
      <c r="O46" s="1456"/>
      <c r="P46" s="1456"/>
      <c r="Q46" s="1456"/>
      <c r="R46" s="1456"/>
      <c r="S46" s="1456"/>
      <c r="T46" s="1456"/>
      <c r="U46" s="1456"/>
      <c r="V46" s="1456"/>
      <c r="W46" s="1456"/>
      <c r="X46" s="1456"/>
      <c r="Y46" s="1456"/>
      <c r="Z46" s="1456"/>
      <c r="AA46" s="1456"/>
      <c r="AB46" s="1456"/>
      <c r="AC46" s="1456"/>
      <c r="AD46" s="1456"/>
      <c r="AE46" s="1456"/>
      <c r="AF46" s="1456"/>
      <c r="AG46" s="1456"/>
      <c r="AH46" s="1456"/>
      <c r="AJ46" s="512"/>
    </row>
    <row r="47" spans="1:51" s="308" customFormat="1" ht="11.25" customHeight="1" x14ac:dyDescent="0.25">
      <c r="A47" s="326"/>
      <c r="B47" s="326"/>
      <c r="C47" s="326"/>
      <c r="D47" s="326"/>
      <c r="E47" s="326"/>
      <c r="F47" s="326"/>
      <c r="G47" s="326"/>
      <c r="H47" s="326"/>
      <c r="I47" s="326"/>
      <c r="J47" s="326"/>
      <c r="K47" s="326"/>
      <c r="L47" s="326"/>
      <c r="M47" s="326"/>
      <c r="N47" s="326"/>
      <c r="O47" s="326"/>
      <c r="P47" s="326"/>
      <c r="Q47" s="326"/>
      <c r="R47" s="326"/>
      <c r="S47" s="326"/>
      <c r="T47" s="326"/>
      <c r="U47" s="326"/>
      <c r="V47" s="326"/>
      <c r="W47" s="326"/>
      <c r="X47" s="326"/>
      <c r="Y47" s="326"/>
      <c r="Z47" s="326"/>
      <c r="AA47" s="326"/>
      <c r="AB47" s="326"/>
      <c r="AC47" s="326"/>
      <c r="AD47" s="326"/>
      <c r="AE47" s="326"/>
      <c r="AF47" s="326"/>
      <c r="AG47" s="326"/>
      <c r="AH47" s="326"/>
      <c r="AJ47" s="508"/>
      <c r="AK47" s="307"/>
      <c r="AL47" s="307"/>
      <c r="AM47" s="307"/>
      <c r="AN47" s="307"/>
      <c r="AO47" s="307"/>
      <c r="AP47" s="307"/>
      <c r="AQ47" s="307"/>
      <c r="AR47" s="307"/>
      <c r="AS47" s="307"/>
      <c r="AT47" s="307"/>
      <c r="AU47" s="307"/>
      <c r="AV47" s="307"/>
      <c r="AW47" s="307"/>
      <c r="AX47" s="307"/>
      <c r="AY47" s="307"/>
    </row>
    <row r="48" spans="1:51" s="312" customFormat="1" ht="42.75" customHeight="1" x14ac:dyDescent="0.25">
      <c r="A48" s="1429" t="s">
        <v>29</v>
      </c>
      <c r="B48" s="1429"/>
      <c r="C48" s="1429"/>
      <c r="D48" s="1429"/>
      <c r="E48" s="1429"/>
      <c r="F48" s="1429"/>
      <c r="G48" s="1429"/>
      <c r="H48" s="1429"/>
      <c r="I48" s="1429"/>
      <c r="J48" s="1429"/>
      <c r="K48" s="1429"/>
      <c r="L48" s="1429"/>
      <c r="M48" s="1429"/>
      <c r="N48" s="1429"/>
      <c r="O48" s="1429"/>
      <c r="P48" s="1429"/>
      <c r="Q48" s="1429"/>
      <c r="R48" s="1429"/>
      <c r="S48" s="1429"/>
      <c r="T48" s="1429"/>
      <c r="U48" s="1429"/>
      <c r="V48" s="1429"/>
      <c r="W48" s="1429"/>
      <c r="X48" s="1429"/>
      <c r="Y48" s="1429"/>
      <c r="Z48" s="1429"/>
      <c r="AA48" s="1429"/>
      <c r="AB48" s="1429"/>
      <c r="AC48" s="1429"/>
      <c r="AD48" s="1429"/>
      <c r="AE48" s="1429"/>
      <c r="AF48" s="1429"/>
      <c r="AG48" s="1429"/>
      <c r="AH48" s="1429"/>
      <c r="AJ48" s="509"/>
      <c r="AK48" s="511"/>
      <c r="AL48" s="511"/>
      <c r="AM48" s="511"/>
      <c r="AN48" s="511"/>
      <c r="AO48" s="511"/>
      <c r="AP48" s="511"/>
      <c r="AQ48" s="511"/>
      <c r="AR48" s="511"/>
      <c r="AS48" s="511"/>
      <c r="AT48" s="511"/>
      <c r="AU48" s="511"/>
      <c r="AV48" s="511"/>
      <c r="AW48" s="511"/>
      <c r="AX48" s="511"/>
    </row>
    <row r="49" spans="1:51" s="308" customFormat="1" ht="11.25" customHeight="1" x14ac:dyDescent="0.25">
      <c r="A49" s="326"/>
      <c r="B49" s="326"/>
      <c r="C49" s="326"/>
      <c r="D49" s="326"/>
      <c r="E49" s="326"/>
      <c r="F49" s="326"/>
      <c r="G49" s="326"/>
      <c r="H49" s="326"/>
      <c r="I49" s="326"/>
      <c r="J49" s="326"/>
      <c r="K49" s="326"/>
      <c r="L49" s="326"/>
      <c r="M49" s="326"/>
      <c r="N49" s="326"/>
      <c r="O49" s="326"/>
      <c r="P49" s="326"/>
      <c r="Q49" s="326"/>
      <c r="R49" s="326"/>
      <c r="S49" s="326"/>
      <c r="T49" s="326"/>
      <c r="U49" s="326"/>
      <c r="V49" s="326"/>
      <c r="W49" s="326"/>
      <c r="X49" s="326"/>
      <c r="Y49" s="326"/>
      <c r="Z49" s="326"/>
      <c r="AA49" s="326"/>
      <c r="AB49" s="326"/>
      <c r="AC49" s="326"/>
      <c r="AD49" s="326"/>
      <c r="AE49" s="326"/>
      <c r="AF49" s="326"/>
      <c r="AG49" s="326"/>
      <c r="AH49" s="326"/>
      <c r="AJ49" s="508"/>
      <c r="AK49" s="307"/>
      <c r="AL49" s="307"/>
      <c r="AM49" s="307"/>
      <c r="AN49" s="307"/>
      <c r="AO49" s="307"/>
      <c r="AP49" s="307"/>
      <c r="AQ49" s="307"/>
      <c r="AR49" s="307"/>
      <c r="AS49" s="307"/>
      <c r="AT49" s="307"/>
      <c r="AU49" s="307"/>
      <c r="AV49" s="307"/>
      <c r="AW49" s="307"/>
      <c r="AX49" s="307"/>
      <c r="AY49" s="307"/>
    </row>
    <row r="50" spans="1:51" s="308" customFormat="1" ht="27.9" customHeight="1" x14ac:dyDescent="0.25">
      <c r="A50" s="1454" t="s">
        <v>30</v>
      </c>
      <c r="B50" s="1454"/>
      <c r="C50" s="1454"/>
      <c r="D50" s="1454"/>
      <c r="E50" s="1454"/>
      <c r="F50" s="1454"/>
      <c r="G50" s="1454"/>
      <c r="H50" s="1454"/>
      <c r="I50" s="1454"/>
      <c r="J50" s="1454"/>
      <c r="K50" s="1454"/>
      <c r="L50" s="1454"/>
      <c r="M50" s="1454"/>
      <c r="N50" s="1454"/>
      <c r="O50" s="1454"/>
      <c r="P50" s="1454"/>
      <c r="Q50" s="1454"/>
      <c r="R50" s="1454"/>
      <c r="S50" s="1454"/>
      <c r="T50" s="1454"/>
      <c r="U50" s="1454"/>
      <c r="V50" s="1454"/>
      <c r="W50" s="1454"/>
      <c r="X50" s="1454"/>
      <c r="Y50" s="1454"/>
      <c r="Z50" s="1454"/>
      <c r="AA50" s="1454"/>
      <c r="AB50" s="1454"/>
      <c r="AC50" s="1454"/>
      <c r="AD50" s="1454"/>
      <c r="AE50" s="1454"/>
      <c r="AF50" s="1454"/>
      <c r="AG50" s="1454"/>
      <c r="AH50" s="1454"/>
      <c r="AJ50" s="508"/>
      <c r="AK50" s="657"/>
      <c r="AL50" s="657"/>
      <c r="AM50" s="657"/>
      <c r="AN50" s="657"/>
      <c r="AO50" s="657"/>
      <c r="AP50" s="657"/>
      <c r="AQ50" s="657"/>
      <c r="AR50" s="657"/>
      <c r="AS50" s="657"/>
      <c r="AT50" s="657"/>
      <c r="AU50" s="657"/>
      <c r="AV50" s="657"/>
      <c r="AW50" s="657"/>
      <c r="AX50" s="657"/>
      <c r="AY50" s="657"/>
    </row>
    <row r="51" spans="1:51" s="308" customFormat="1" ht="11.25" customHeight="1" x14ac:dyDescent="0.25">
      <c r="A51" s="326"/>
      <c r="B51" s="326"/>
      <c r="C51" s="326"/>
      <c r="D51" s="326"/>
      <c r="E51" s="326"/>
      <c r="F51" s="326"/>
      <c r="G51" s="326"/>
      <c r="H51" s="326"/>
      <c r="I51" s="326"/>
      <c r="J51" s="326"/>
      <c r="K51" s="326"/>
      <c r="L51" s="326"/>
      <c r="M51" s="326"/>
      <c r="N51" s="326"/>
      <c r="O51" s="326"/>
      <c r="P51" s="326"/>
      <c r="Q51" s="326"/>
      <c r="R51" s="326"/>
      <c r="S51" s="326"/>
      <c r="T51" s="326"/>
      <c r="U51" s="326"/>
      <c r="V51" s="326"/>
      <c r="W51" s="326"/>
      <c r="X51" s="326"/>
      <c r="Y51" s="326"/>
      <c r="Z51" s="326"/>
      <c r="AA51" s="326"/>
      <c r="AB51" s="326"/>
      <c r="AC51" s="326"/>
      <c r="AD51" s="326"/>
      <c r="AE51" s="326"/>
      <c r="AF51" s="326"/>
      <c r="AG51" s="326"/>
      <c r="AH51" s="326"/>
      <c r="AJ51" s="508"/>
      <c r="AK51" s="307"/>
      <c r="AL51" s="307"/>
      <c r="AM51" s="307"/>
      <c r="AN51" s="307"/>
      <c r="AO51" s="307"/>
      <c r="AP51" s="307"/>
      <c r="AQ51" s="307"/>
      <c r="AR51" s="307"/>
      <c r="AS51" s="307"/>
      <c r="AT51" s="307"/>
      <c r="AU51" s="307"/>
      <c r="AV51" s="307"/>
      <c r="AW51" s="307"/>
      <c r="AX51" s="307"/>
      <c r="AY51" s="307"/>
    </row>
    <row r="52" spans="1:51" s="308" customFormat="1" ht="15.75" customHeight="1" x14ac:dyDescent="0.25">
      <c r="A52" s="1454" t="s">
        <v>31</v>
      </c>
      <c r="B52" s="1454"/>
      <c r="C52" s="1454"/>
      <c r="D52" s="1454"/>
      <c r="E52" s="1454"/>
      <c r="F52" s="1454"/>
      <c r="G52" s="1454"/>
      <c r="H52" s="1454"/>
      <c r="I52" s="1454"/>
      <c r="J52" s="1454"/>
      <c r="K52" s="1454"/>
      <c r="L52" s="1454"/>
      <c r="M52" s="1454"/>
      <c r="N52" s="1454"/>
      <c r="O52" s="1454"/>
      <c r="P52" s="1454"/>
      <c r="Q52" s="1454"/>
      <c r="R52" s="1454"/>
      <c r="S52" s="1454"/>
      <c r="T52" s="1454"/>
      <c r="U52" s="1454"/>
      <c r="V52" s="1454"/>
      <c r="W52" s="1454"/>
      <c r="X52" s="1454"/>
      <c r="Y52" s="1454"/>
      <c r="Z52" s="1454"/>
      <c r="AA52" s="1454"/>
      <c r="AB52" s="1454"/>
      <c r="AC52" s="1454"/>
      <c r="AD52" s="1454"/>
      <c r="AE52" s="1454"/>
      <c r="AF52" s="1454"/>
      <c r="AG52" s="1454"/>
      <c r="AH52" s="1454"/>
      <c r="AJ52" s="508"/>
      <c r="AK52" s="657"/>
      <c r="AL52" s="657"/>
      <c r="AM52" s="657"/>
      <c r="AN52" s="657"/>
      <c r="AO52" s="657"/>
      <c r="AP52" s="657"/>
      <c r="AQ52" s="657"/>
      <c r="AR52" s="657"/>
      <c r="AS52" s="657"/>
      <c r="AT52" s="657"/>
      <c r="AU52" s="657"/>
      <c r="AV52" s="657"/>
      <c r="AW52" s="657"/>
      <c r="AX52" s="657"/>
      <c r="AY52" s="657"/>
    </row>
    <row r="53" spans="1:51" s="308" customFormat="1" ht="11.25" customHeight="1" x14ac:dyDescent="0.25">
      <c r="A53" s="326"/>
      <c r="B53" s="326"/>
      <c r="C53" s="326"/>
      <c r="D53" s="326"/>
      <c r="E53" s="326"/>
      <c r="F53" s="326"/>
      <c r="G53" s="326"/>
      <c r="H53" s="326"/>
      <c r="I53" s="326"/>
      <c r="J53" s="326"/>
      <c r="K53" s="326"/>
      <c r="L53" s="326"/>
      <c r="M53" s="326"/>
      <c r="N53" s="326"/>
      <c r="O53" s="326"/>
      <c r="P53" s="326"/>
      <c r="Q53" s="326"/>
      <c r="R53" s="326"/>
      <c r="S53" s="326"/>
      <c r="T53" s="326"/>
      <c r="U53" s="326"/>
      <c r="V53" s="326"/>
      <c r="W53" s="326"/>
      <c r="X53" s="326"/>
      <c r="Y53" s="326"/>
      <c r="Z53" s="326"/>
      <c r="AA53" s="326"/>
      <c r="AB53" s="326"/>
      <c r="AC53" s="326"/>
      <c r="AD53" s="326"/>
      <c r="AE53" s="326"/>
      <c r="AF53" s="326"/>
      <c r="AG53" s="326"/>
      <c r="AH53" s="326"/>
      <c r="AJ53" s="508"/>
      <c r="AK53" s="307"/>
      <c r="AL53" s="307"/>
      <c r="AM53" s="307"/>
      <c r="AN53" s="307"/>
      <c r="AO53" s="307"/>
      <c r="AP53" s="307"/>
      <c r="AQ53" s="307"/>
      <c r="AR53" s="307"/>
      <c r="AS53" s="307"/>
      <c r="AT53" s="307"/>
      <c r="AU53" s="307"/>
      <c r="AV53" s="307"/>
      <c r="AW53" s="307"/>
      <c r="AX53" s="307"/>
      <c r="AY53" s="307"/>
    </row>
    <row r="54" spans="1:51" s="308" customFormat="1" ht="13.8" x14ac:dyDescent="0.25">
      <c r="A54" s="1454" t="s">
        <v>32</v>
      </c>
      <c r="B54" s="1454"/>
      <c r="C54" s="1454"/>
      <c r="D54" s="1454"/>
      <c r="E54" s="1454"/>
      <c r="F54" s="1454"/>
      <c r="G54" s="1454"/>
      <c r="H54" s="1454"/>
      <c r="I54" s="1454"/>
      <c r="J54" s="1454"/>
      <c r="K54" s="1454"/>
      <c r="L54" s="1454"/>
      <c r="M54" s="1454"/>
      <c r="N54" s="1454"/>
      <c r="O54" s="1454"/>
      <c r="P54" s="1454"/>
      <c r="Q54" s="1454"/>
      <c r="R54" s="1454"/>
      <c r="S54" s="1454"/>
      <c r="T54" s="1454"/>
      <c r="U54" s="1454"/>
      <c r="V54" s="1454"/>
      <c r="W54" s="1454"/>
      <c r="X54" s="1454"/>
      <c r="Y54" s="1454"/>
      <c r="Z54" s="1454"/>
      <c r="AA54" s="1454"/>
      <c r="AB54" s="1454"/>
      <c r="AC54" s="1454"/>
      <c r="AD54" s="1454"/>
      <c r="AE54" s="1454"/>
      <c r="AF54" s="1454"/>
      <c r="AG54" s="1454"/>
      <c r="AH54" s="1454"/>
      <c r="AJ54" s="508"/>
      <c r="AK54" s="657"/>
      <c r="AL54" s="657"/>
      <c r="AM54" s="657"/>
      <c r="AN54" s="657"/>
      <c r="AO54" s="657"/>
      <c r="AP54" s="657"/>
      <c r="AQ54" s="657"/>
      <c r="AR54" s="657"/>
      <c r="AS54" s="657"/>
      <c r="AT54" s="657"/>
      <c r="AU54" s="657"/>
      <c r="AV54" s="657"/>
      <c r="AW54" s="657"/>
      <c r="AX54" s="657"/>
      <c r="AY54" s="657"/>
    </row>
    <row r="55" spans="1:51" s="308" customFormat="1" ht="11.25" customHeight="1" x14ac:dyDescent="0.25">
      <c r="A55" s="326"/>
      <c r="B55" s="326"/>
      <c r="C55" s="326"/>
      <c r="D55" s="326"/>
      <c r="E55" s="326"/>
      <c r="F55" s="326"/>
      <c r="G55" s="326"/>
      <c r="H55" s="326"/>
      <c r="I55" s="326"/>
      <c r="J55" s="326"/>
      <c r="K55" s="326"/>
      <c r="L55" s="326"/>
      <c r="M55" s="326"/>
      <c r="N55" s="326"/>
      <c r="O55" s="326"/>
      <c r="P55" s="326"/>
      <c r="Q55" s="326"/>
      <c r="R55" s="326"/>
      <c r="S55" s="326"/>
      <c r="T55" s="326"/>
      <c r="U55" s="326"/>
      <c r="V55" s="326"/>
      <c r="W55" s="326"/>
      <c r="X55" s="326"/>
      <c r="Y55" s="326"/>
      <c r="Z55" s="326"/>
      <c r="AA55" s="326"/>
      <c r="AB55" s="326"/>
      <c r="AC55" s="326"/>
      <c r="AD55" s="326"/>
      <c r="AE55" s="326"/>
      <c r="AF55" s="326"/>
      <c r="AG55" s="326"/>
      <c r="AH55" s="326"/>
      <c r="AJ55" s="508"/>
      <c r="AK55" s="307"/>
      <c r="AL55" s="307"/>
      <c r="AM55" s="307"/>
      <c r="AN55" s="307"/>
      <c r="AO55" s="307"/>
      <c r="AP55" s="307"/>
      <c r="AQ55" s="307"/>
      <c r="AR55" s="307"/>
      <c r="AS55" s="307"/>
      <c r="AT55" s="307"/>
      <c r="AU55" s="307"/>
      <c r="AV55" s="307"/>
      <c r="AW55" s="307"/>
      <c r="AX55" s="307"/>
      <c r="AY55" s="307"/>
    </row>
    <row r="56" spans="1:51" s="308" customFormat="1" ht="57" customHeight="1" x14ac:dyDescent="0.25">
      <c r="A56" s="1454" t="s">
        <v>33</v>
      </c>
      <c r="B56" s="1454"/>
      <c r="C56" s="1454"/>
      <c r="D56" s="1454"/>
      <c r="E56" s="1454"/>
      <c r="F56" s="1454"/>
      <c r="G56" s="1454"/>
      <c r="H56" s="1454"/>
      <c r="I56" s="1454"/>
      <c r="J56" s="1454"/>
      <c r="K56" s="1454"/>
      <c r="L56" s="1454"/>
      <c r="M56" s="1454"/>
      <c r="N56" s="1454"/>
      <c r="O56" s="1454"/>
      <c r="P56" s="1454"/>
      <c r="Q56" s="1454"/>
      <c r="R56" s="1454"/>
      <c r="S56" s="1454"/>
      <c r="T56" s="1454"/>
      <c r="U56" s="1454"/>
      <c r="V56" s="1454"/>
      <c r="W56" s="1454"/>
      <c r="X56" s="1454"/>
      <c r="Y56" s="1454"/>
      <c r="Z56" s="1454"/>
      <c r="AA56" s="1454"/>
      <c r="AB56" s="1454"/>
      <c r="AC56" s="1454"/>
      <c r="AD56" s="1454"/>
      <c r="AE56" s="1454"/>
      <c r="AF56" s="1454"/>
      <c r="AG56" s="1454"/>
      <c r="AH56" s="1454"/>
      <c r="AJ56" s="508"/>
      <c r="AK56" s="657"/>
      <c r="AL56" s="657"/>
      <c r="AM56" s="657"/>
      <c r="AN56" s="657"/>
      <c r="AO56" s="657"/>
      <c r="AP56" s="657"/>
      <c r="AQ56" s="657"/>
      <c r="AR56" s="657"/>
      <c r="AS56" s="657"/>
      <c r="AT56" s="657"/>
      <c r="AU56" s="657"/>
      <c r="AV56" s="657"/>
      <c r="AW56" s="657"/>
      <c r="AX56" s="657"/>
      <c r="AY56" s="657"/>
    </row>
    <row r="57" spans="1:51" s="308" customFormat="1" ht="11.25" customHeight="1" x14ac:dyDescent="0.25">
      <c r="A57" s="326"/>
      <c r="B57" s="326"/>
      <c r="C57" s="326"/>
      <c r="D57" s="326"/>
      <c r="E57" s="326"/>
      <c r="F57" s="326"/>
      <c r="G57" s="326"/>
      <c r="H57" s="326"/>
      <c r="I57" s="326"/>
      <c r="J57" s="326"/>
      <c r="K57" s="326"/>
      <c r="L57" s="326"/>
      <c r="M57" s="326"/>
      <c r="N57" s="326"/>
      <c r="O57" s="326"/>
      <c r="P57" s="326"/>
      <c r="Q57" s="326"/>
      <c r="R57" s="326"/>
      <c r="S57" s="326"/>
      <c r="T57" s="326"/>
      <c r="U57" s="326"/>
      <c r="V57" s="326"/>
      <c r="W57" s="326"/>
      <c r="X57" s="326"/>
      <c r="Y57" s="326"/>
      <c r="Z57" s="326"/>
      <c r="AA57" s="326"/>
      <c r="AB57" s="326"/>
      <c r="AC57" s="326"/>
      <c r="AD57" s="326"/>
      <c r="AE57" s="326"/>
      <c r="AF57" s="326"/>
      <c r="AG57" s="326"/>
      <c r="AH57" s="326"/>
      <c r="AJ57" s="508"/>
      <c r="AK57" s="307"/>
      <c r="AL57" s="307"/>
      <c r="AM57" s="307"/>
      <c r="AN57" s="307"/>
      <c r="AO57" s="307"/>
      <c r="AP57" s="307"/>
      <c r="AQ57" s="307"/>
      <c r="AR57" s="307"/>
      <c r="AS57" s="307"/>
      <c r="AT57" s="307"/>
      <c r="AU57" s="307"/>
      <c r="AV57" s="307"/>
      <c r="AW57" s="307"/>
      <c r="AX57" s="307"/>
      <c r="AY57" s="307"/>
    </row>
    <row r="58" spans="1:51" s="308" customFormat="1" ht="13.8" x14ac:dyDescent="0.25">
      <c r="A58" s="1458" t="s">
        <v>34</v>
      </c>
      <c r="B58" s="1458"/>
      <c r="C58" s="1458"/>
      <c r="D58" s="1458"/>
      <c r="E58" s="1458"/>
      <c r="F58" s="1458"/>
      <c r="G58" s="1458"/>
      <c r="H58" s="1458"/>
      <c r="I58" s="1458"/>
      <c r="J58" s="1458"/>
      <c r="K58" s="1458"/>
      <c r="L58" s="1458"/>
      <c r="M58" s="1458"/>
      <c r="N58" s="1458"/>
      <c r="O58" s="1458"/>
      <c r="P58" s="1458"/>
      <c r="Q58" s="1458"/>
      <c r="R58" s="1458"/>
      <c r="S58" s="1458"/>
      <c r="T58" s="1458"/>
      <c r="U58" s="1458"/>
      <c r="V58" s="1458"/>
      <c r="W58" s="1458"/>
      <c r="X58" s="1458"/>
      <c r="Y58" s="1458"/>
      <c r="Z58" s="1458"/>
      <c r="AA58" s="1458"/>
      <c r="AB58" s="1458"/>
      <c r="AC58" s="1458"/>
      <c r="AD58" s="1458"/>
      <c r="AE58" s="1458"/>
      <c r="AF58" s="1458"/>
      <c r="AG58" s="1458"/>
      <c r="AH58" s="1458"/>
      <c r="AJ58" s="508"/>
      <c r="AK58" s="657"/>
      <c r="AL58" s="657"/>
      <c r="AM58" s="657"/>
      <c r="AN58" s="657"/>
      <c r="AO58" s="657"/>
      <c r="AP58" s="657"/>
      <c r="AQ58" s="657"/>
      <c r="AR58" s="657"/>
      <c r="AS58" s="657"/>
      <c r="AT58" s="657"/>
      <c r="AU58" s="657"/>
      <c r="AV58" s="657"/>
      <c r="AW58" s="657"/>
      <c r="AX58" s="657"/>
      <c r="AY58" s="657"/>
    </row>
    <row r="59" spans="1:51" s="308" customFormat="1" ht="11.25" customHeight="1" x14ac:dyDescent="0.25">
      <c r="A59" s="326"/>
      <c r="B59" s="326"/>
      <c r="C59" s="326"/>
      <c r="D59" s="326"/>
      <c r="E59" s="326"/>
      <c r="F59" s="326"/>
      <c r="G59" s="326"/>
      <c r="H59" s="326"/>
      <c r="I59" s="326"/>
      <c r="J59" s="326"/>
      <c r="K59" s="326"/>
      <c r="L59" s="326"/>
      <c r="M59" s="326"/>
      <c r="N59" s="326"/>
      <c r="O59" s="326"/>
      <c r="P59" s="326"/>
      <c r="Q59" s="326"/>
      <c r="R59" s="326"/>
      <c r="S59" s="326"/>
      <c r="T59" s="326"/>
      <c r="U59" s="326"/>
      <c r="V59" s="326"/>
      <c r="W59" s="326"/>
      <c r="X59" s="326"/>
      <c r="Y59" s="326"/>
      <c r="Z59" s="326"/>
      <c r="AA59" s="326"/>
      <c r="AB59" s="326"/>
      <c r="AC59" s="326"/>
      <c r="AD59" s="326"/>
      <c r="AE59" s="326"/>
      <c r="AF59" s="326"/>
      <c r="AG59" s="326"/>
      <c r="AH59" s="326"/>
      <c r="AJ59" s="508"/>
      <c r="AK59" s="307"/>
      <c r="AL59" s="307"/>
      <c r="AM59" s="307"/>
      <c r="AN59" s="307"/>
      <c r="AO59" s="307"/>
      <c r="AP59" s="307"/>
      <c r="AQ59" s="307"/>
      <c r="AR59" s="307"/>
      <c r="AS59" s="307"/>
      <c r="AT59" s="307"/>
      <c r="AU59" s="307"/>
      <c r="AV59" s="307"/>
      <c r="AW59" s="307"/>
      <c r="AX59" s="307"/>
      <c r="AY59" s="307"/>
    </row>
    <row r="60" spans="1:51" s="308" customFormat="1" ht="13.8" x14ac:dyDescent="0.25">
      <c r="A60" s="1454" t="s">
        <v>35</v>
      </c>
      <c r="B60" s="1454"/>
      <c r="C60" s="1454"/>
      <c r="D60" s="1454"/>
      <c r="E60" s="1454"/>
      <c r="F60" s="1454"/>
      <c r="G60" s="1454"/>
      <c r="H60" s="1454"/>
      <c r="I60" s="1454"/>
      <c r="J60" s="1454"/>
      <c r="K60" s="1454"/>
      <c r="L60" s="1454"/>
      <c r="M60" s="1454"/>
      <c r="N60" s="1454"/>
      <c r="O60" s="1454"/>
      <c r="P60" s="1454"/>
      <c r="Q60" s="1454"/>
      <c r="R60" s="1454"/>
      <c r="S60" s="1454"/>
      <c r="T60" s="1454"/>
      <c r="U60" s="1454"/>
      <c r="V60" s="1454"/>
      <c r="W60" s="1454"/>
      <c r="X60" s="1454"/>
      <c r="Y60" s="1454"/>
      <c r="Z60" s="1454"/>
      <c r="AA60" s="1454"/>
      <c r="AB60" s="1454"/>
      <c r="AC60" s="1454"/>
      <c r="AD60" s="1454"/>
      <c r="AE60" s="1454"/>
      <c r="AF60" s="1454"/>
      <c r="AG60" s="1454"/>
      <c r="AH60" s="1454"/>
      <c r="AJ60" s="508"/>
      <c r="AK60" s="657"/>
      <c r="AL60" s="657"/>
      <c r="AM60" s="657"/>
      <c r="AN60" s="657"/>
      <c r="AO60" s="657"/>
      <c r="AP60" s="657"/>
      <c r="AQ60" s="657"/>
      <c r="AR60" s="657"/>
      <c r="AS60" s="657"/>
      <c r="AT60" s="657"/>
      <c r="AU60" s="657"/>
      <c r="AV60" s="657"/>
      <c r="AW60" s="657"/>
      <c r="AX60" s="657"/>
      <c r="AY60" s="657"/>
    </row>
    <row r="61" spans="1:51" s="308" customFormat="1" ht="11.25" customHeight="1" x14ac:dyDescent="0.25">
      <c r="A61" s="326"/>
      <c r="B61" s="326"/>
      <c r="C61" s="326"/>
      <c r="D61" s="326"/>
      <c r="E61" s="326"/>
      <c r="F61" s="326"/>
      <c r="G61" s="326"/>
      <c r="H61" s="326"/>
      <c r="I61" s="326"/>
      <c r="J61" s="326"/>
      <c r="K61" s="326"/>
      <c r="L61" s="326"/>
      <c r="M61" s="326"/>
      <c r="N61" s="326"/>
      <c r="O61" s="326"/>
      <c r="P61" s="326"/>
      <c r="Q61" s="326"/>
      <c r="R61" s="326"/>
      <c r="S61" s="326"/>
      <c r="T61" s="326"/>
      <c r="U61" s="326"/>
      <c r="V61" s="326"/>
      <c r="W61" s="326"/>
      <c r="X61" s="326"/>
      <c r="Y61" s="326"/>
      <c r="Z61" s="326"/>
      <c r="AA61" s="326"/>
      <c r="AB61" s="326"/>
      <c r="AC61" s="326"/>
      <c r="AD61" s="326"/>
      <c r="AE61" s="326"/>
      <c r="AF61" s="326"/>
      <c r="AG61" s="326"/>
      <c r="AH61" s="326"/>
      <c r="AJ61" s="508"/>
      <c r="AK61" s="307"/>
      <c r="AL61" s="307"/>
      <c r="AM61" s="307"/>
      <c r="AN61" s="307"/>
      <c r="AO61" s="307"/>
      <c r="AP61" s="307"/>
      <c r="AQ61" s="307"/>
      <c r="AR61" s="307"/>
      <c r="AS61" s="307"/>
      <c r="AT61" s="307"/>
      <c r="AU61" s="307"/>
      <c r="AV61" s="307"/>
      <c r="AW61" s="307"/>
      <c r="AX61" s="307"/>
      <c r="AY61" s="307"/>
    </row>
    <row r="62" spans="1:51" s="308" customFormat="1" ht="13.8" x14ac:dyDescent="0.25">
      <c r="A62" s="1454" t="s">
        <v>36</v>
      </c>
      <c r="B62" s="1454"/>
      <c r="C62" s="1454"/>
      <c r="D62" s="1454"/>
      <c r="E62" s="1454"/>
      <c r="F62" s="1454"/>
      <c r="G62" s="1454"/>
      <c r="H62" s="1454"/>
      <c r="I62" s="1454"/>
      <c r="J62" s="1454"/>
      <c r="K62" s="1454"/>
      <c r="L62" s="1454"/>
      <c r="M62" s="1454"/>
      <c r="N62" s="1454"/>
      <c r="O62" s="1454"/>
      <c r="P62" s="1454"/>
      <c r="Q62" s="1454"/>
      <c r="R62" s="1454"/>
      <c r="S62" s="1454"/>
      <c r="T62" s="1454"/>
      <c r="U62" s="1454"/>
      <c r="V62" s="1454"/>
      <c r="W62" s="1454"/>
      <c r="X62" s="1454"/>
      <c r="Y62" s="1454"/>
      <c r="Z62" s="1454"/>
      <c r="AA62" s="1454"/>
      <c r="AB62" s="1454"/>
      <c r="AC62" s="1454"/>
      <c r="AD62" s="1454"/>
      <c r="AE62" s="1454"/>
      <c r="AF62" s="1454"/>
      <c r="AG62" s="1454"/>
      <c r="AH62" s="1454"/>
      <c r="AJ62" s="512"/>
    </row>
    <row r="63" spans="1:51" s="308" customFormat="1" ht="11.25" customHeight="1" x14ac:dyDescent="0.25">
      <c r="A63" s="326"/>
      <c r="B63" s="326"/>
      <c r="C63" s="326"/>
      <c r="D63" s="326"/>
      <c r="E63" s="326"/>
      <c r="F63" s="326"/>
      <c r="G63" s="326"/>
      <c r="H63" s="326"/>
      <c r="I63" s="326"/>
      <c r="J63" s="326"/>
      <c r="K63" s="326"/>
      <c r="L63" s="326"/>
      <c r="M63" s="326"/>
      <c r="N63" s="326"/>
      <c r="O63" s="326"/>
      <c r="P63" s="326"/>
      <c r="Q63" s="326"/>
      <c r="R63" s="326"/>
      <c r="S63" s="326"/>
      <c r="T63" s="326"/>
      <c r="U63" s="326"/>
      <c r="V63" s="326"/>
      <c r="W63" s="326"/>
      <c r="X63" s="326"/>
      <c r="Y63" s="326"/>
      <c r="Z63" s="326"/>
      <c r="AA63" s="326"/>
      <c r="AB63" s="326"/>
      <c r="AC63" s="326"/>
      <c r="AD63" s="326"/>
      <c r="AE63" s="326"/>
      <c r="AF63" s="326"/>
      <c r="AG63" s="326"/>
      <c r="AH63" s="326"/>
      <c r="AJ63" s="508"/>
      <c r="AK63" s="307"/>
      <c r="AL63" s="307"/>
      <c r="AM63" s="307"/>
      <c r="AN63" s="307"/>
      <c r="AO63" s="307"/>
      <c r="AP63" s="307"/>
      <c r="AQ63" s="307"/>
      <c r="AR63" s="307"/>
      <c r="AS63" s="307"/>
      <c r="AT63" s="307"/>
      <c r="AU63" s="307"/>
      <c r="AV63" s="307"/>
      <c r="AW63" s="307"/>
      <c r="AX63" s="307"/>
      <c r="AY63" s="307"/>
    </row>
    <row r="64" spans="1:51" s="308" customFormat="1" ht="13.8" x14ac:dyDescent="0.25">
      <c r="A64" s="1454" t="s">
        <v>37</v>
      </c>
      <c r="B64" s="1454"/>
      <c r="C64" s="1454"/>
      <c r="D64" s="1454"/>
      <c r="E64" s="1454"/>
      <c r="F64" s="1454"/>
      <c r="G64" s="1454"/>
      <c r="H64" s="1454"/>
      <c r="I64" s="1454"/>
      <c r="J64" s="1454"/>
      <c r="K64" s="1454"/>
      <c r="L64" s="1454"/>
      <c r="M64" s="1454"/>
      <c r="N64" s="1454"/>
      <c r="O64" s="1454"/>
      <c r="P64" s="1454"/>
      <c r="Q64" s="1454"/>
      <c r="R64" s="1454"/>
      <c r="S64" s="1454"/>
      <c r="T64" s="1454"/>
      <c r="U64" s="1454"/>
      <c r="V64" s="1454"/>
      <c r="W64" s="1454"/>
      <c r="X64" s="1454"/>
      <c r="Y64" s="1454"/>
      <c r="Z64" s="1454"/>
      <c r="AA64" s="1454"/>
      <c r="AB64" s="1454"/>
      <c r="AC64" s="1454"/>
      <c r="AD64" s="1454"/>
      <c r="AE64" s="1454"/>
      <c r="AF64" s="1454"/>
      <c r="AG64" s="1454"/>
      <c r="AH64" s="1454"/>
      <c r="AJ64" s="508"/>
      <c r="AK64" s="657"/>
      <c r="AL64" s="657"/>
      <c r="AM64" s="657"/>
      <c r="AN64" s="657"/>
      <c r="AO64" s="657"/>
      <c r="AP64" s="657"/>
      <c r="AQ64" s="657"/>
      <c r="AR64" s="657"/>
      <c r="AS64" s="657"/>
      <c r="AT64" s="657"/>
      <c r="AU64" s="657"/>
      <c r="AV64" s="657"/>
      <c r="AW64" s="657"/>
      <c r="AX64" s="657"/>
      <c r="AY64" s="657"/>
    </row>
    <row r="65" spans="1:51" s="308" customFormat="1" ht="11.25" customHeight="1" x14ac:dyDescent="0.25">
      <c r="A65" s="326"/>
      <c r="B65" s="326"/>
      <c r="C65" s="326"/>
      <c r="D65" s="326"/>
      <c r="E65" s="326"/>
      <c r="F65" s="326"/>
      <c r="G65" s="326"/>
      <c r="H65" s="326"/>
      <c r="I65" s="326"/>
      <c r="J65" s="326"/>
      <c r="K65" s="326"/>
      <c r="L65" s="326"/>
      <c r="M65" s="326"/>
      <c r="N65" s="326"/>
      <c r="O65" s="326"/>
      <c r="P65" s="326"/>
      <c r="Q65" s="326"/>
      <c r="R65" s="326"/>
      <c r="S65" s="326"/>
      <c r="T65" s="326"/>
      <c r="U65" s="326"/>
      <c r="V65" s="326"/>
      <c r="W65" s="326"/>
      <c r="X65" s="326"/>
      <c r="Y65" s="326"/>
      <c r="Z65" s="326"/>
      <c r="AA65" s="326"/>
      <c r="AB65" s="326"/>
      <c r="AC65" s="326"/>
      <c r="AD65" s="326"/>
      <c r="AE65" s="326"/>
      <c r="AF65" s="326"/>
      <c r="AG65" s="326"/>
      <c r="AH65" s="326"/>
      <c r="AJ65" s="508"/>
      <c r="AK65" s="307"/>
      <c r="AL65" s="307"/>
      <c r="AM65" s="307"/>
      <c r="AN65" s="307"/>
      <c r="AO65" s="307"/>
      <c r="AP65" s="307"/>
      <c r="AQ65" s="307"/>
      <c r="AR65" s="307"/>
      <c r="AS65" s="307"/>
      <c r="AT65" s="307"/>
      <c r="AU65" s="307"/>
      <c r="AV65" s="307"/>
      <c r="AW65" s="307"/>
      <c r="AX65" s="307"/>
      <c r="AY65" s="307"/>
    </row>
    <row r="66" spans="1:51" s="312" customFormat="1" ht="13.8" x14ac:dyDescent="0.25">
      <c r="A66" s="1457" t="s">
        <v>38</v>
      </c>
      <c r="B66" s="1457"/>
      <c r="C66" s="1457"/>
      <c r="D66" s="1457"/>
      <c r="E66" s="1457"/>
      <c r="F66" s="1457"/>
      <c r="G66" s="1457"/>
      <c r="H66" s="1457"/>
      <c r="I66" s="1457"/>
      <c r="J66" s="1457"/>
      <c r="K66" s="1457"/>
      <c r="L66" s="1457"/>
      <c r="M66" s="1457"/>
      <c r="N66" s="1457"/>
      <c r="O66" s="1457"/>
      <c r="P66" s="1457"/>
      <c r="Q66" s="1457"/>
      <c r="R66" s="1457"/>
      <c r="S66" s="1457"/>
      <c r="T66" s="1457"/>
      <c r="U66" s="1457"/>
      <c r="V66" s="1457"/>
      <c r="W66" s="1457"/>
      <c r="X66" s="1457"/>
      <c r="Y66" s="1457"/>
      <c r="Z66" s="1457"/>
      <c r="AA66" s="1457"/>
      <c r="AB66" s="1457"/>
      <c r="AC66" s="1457"/>
      <c r="AD66" s="1457"/>
      <c r="AE66" s="1457"/>
      <c r="AF66" s="1457"/>
      <c r="AG66" s="1457"/>
      <c r="AH66" s="1457"/>
      <c r="AJ66" s="509"/>
      <c r="AK66" s="511"/>
      <c r="AL66" s="511"/>
      <c r="AM66" s="511"/>
      <c r="AN66" s="511"/>
      <c r="AO66" s="511"/>
      <c r="AP66" s="511"/>
      <c r="AQ66" s="511"/>
      <c r="AR66" s="511"/>
      <c r="AS66" s="511"/>
      <c r="AT66" s="511"/>
      <c r="AU66" s="511"/>
      <c r="AV66" s="511"/>
      <c r="AW66" s="511"/>
      <c r="AX66" s="511"/>
      <c r="AY66" s="511"/>
    </row>
    <row r="67" spans="1:51" s="308" customFormat="1" ht="11.25" customHeight="1" x14ac:dyDescent="0.25">
      <c r="A67" s="326"/>
      <c r="B67" s="326"/>
      <c r="C67" s="326"/>
      <c r="D67" s="326"/>
      <c r="E67" s="326"/>
      <c r="F67" s="326"/>
      <c r="G67" s="326"/>
      <c r="H67" s="326"/>
      <c r="I67" s="326"/>
      <c r="J67" s="326"/>
      <c r="K67" s="326"/>
      <c r="L67" s="326"/>
      <c r="M67" s="326"/>
      <c r="N67" s="326"/>
      <c r="O67" s="326"/>
      <c r="P67" s="326"/>
      <c r="Q67" s="326"/>
      <c r="R67" s="326"/>
      <c r="S67" s="326"/>
      <c r="T67" s="326"/>
      <c r="U67" s="326"/>
      <c r="V67" s="326"/>
      <c r="W67" s="326"/>
      <c r="X67" s="326"/>
      <c r="Y67" s="326"/>
      <c r="Z67" s="326"/>
      <c r="AA67" s="326"/>
      <c r="AB67" s="326"/>
      <c r="AC67" s="326"/>
      <c r="AD67" s="326"/>
      <c r="AE67" s="326"/>
      <c r="AF67" s="326"/>
      <c r="AG67" s="326"/>
      <c r="AH67" s="326"/>
      <c r="AJ67" s="508"/>
      <c r="AK67" s="307"/>
      <c r="AL67" s="307"/>
      <c r="AM67" s="307"/>
      <c r="AN67" s="307"/>
      <c r="AO67" s="307"/>
      <c r="AP67" s="307"/>
      <c r="AQ67" s="307"/>
      <c r="AR67" s="307"/>
      <c r="AS67" s="307"/>
      <c r="AT67" s="307"/>
      <c r="AU67" s="307"/>
      <c r="AV67" s="307"/>
      <c r="AW67" s="307"/>
      <c r="AX67" s="307"/>
      <c r="AY67" s="307"/>
    </row>
    <row r="68" spans="1:51" s="308" customFormat="1" ht="13.8" x14ac:dyDescent="0.25">
      <c r="A68" s="1454" t="s">
        <v>39</v>
      </c>
      <c r="B68" s="1454"/>
      <c r="C68" s="1454"/>
      <c r="D68" s="1454"/>
      <c r="E68" s="1454"/>
      <c r="F68" s="1454"/>
      <c r="G68" s="1454"/>
      <c r="H68" s="1454"/>
      <c r="I68" s="1454"/>
      <c r="J68" s="1454"/>
      <c r="K68" s="1454"/>
      <c r="L68" s="1454"/>
      <c r="M68" s="1454"/>
      <c r="N68" s="1454"/>
      <c r="O68" s="1454"/>
      <c r="P68" s="1454"/>
      <c r="Q68" s="1454"/>
      <c r="R68" s="1454"/>
      <c r="S68" s="1454"/>
      <c r="T68" s="1454"/>
      <c r="U68" s="1454"/>
      <c r="V68" s="1454"/>
      <c r="W68" s="1454"/>
      <c r="X68" s="1454"/>
      <c r="Y68" s="1454"/>
      <c r="Z68" s="1454"/>
      <c r="AA68" s="1454"/>
      <c r="AB68" s="1454"/>
      <c r="AC68" s="1454"/>
      <c r="AD68" s="1454"/>
      <c r="AE68" s="1454"/>
      <c r="AF68" s="1454"/>
      <c r="AG68" s="1454"/>
      <c r="AH68" s="1454"/>
      <c r="AJ68" s="508"/>
      <c r="AK68" s="657"/>
      <c r="AL68" s="657"/>
      <c r="AM68" s="657"/>
      <c r="AN68" s="657"/>
      <c r="AO68" s="657"/>
      <c r="AP68" s="657"/>
      <c r="AQ68" s="657"/>
      <c r="AR68" s="657"/>
      <c r="AS68" s="657"/>
      <c r="AT68" s="657"/>
      <c r="AU68" s="657"/>
      <c r="AV68" s="657"/>
      <c r="AW68" s="657"/>
      <c r="AX68" s="657"/>
      <c r="AY68" s="657"/>
    </row>
    <row r="69" spans="1:51" s="308" customFormat="1" ht="11.25" customHeight="1" x14ac:dyDescent="0.25">
      <c r="A69" s="326"/>
      <c r="B69" s="326"/>
      <c r="C69" s="326"/>
      <c r="D69" s="326"/>
      <c r="E69" s="326"/>
      <c r="F69" s="326"/>
      <c r="G69" s="326"/>
      <c r="H69" s="326"/>
      <c r="I69" s="326"/>
      <c r="J69" s="326"/>
      <c r="K69" s="326"/>
      <c r="L69" s="326"/>
      <c r="M69" s="326"/>
      <c r="N69" s="326"/>
      <c r="O69" s="326"/>
      <c r="P69" s="326"/>
      <c r="Q69" s="326"/>
      <c r="R69" s="326"/>
      <c r="S69" s="326"/>
      <c r="T69" s="326"/>
      <c r="U69" s="326"/>
      <c r="V69" s="326"/>
      <c r="W69" s="326"/>
      <c r="X69" s="326"/>
      <c r="Y69" s="326"/>
      <c r="Z69" s="326"/>
      <c r="AA69" s="326"/>
      <c r="AB69" s="326"/>
      <c r="AC69" s="326"/>
      <c r="AD69" s="326"/>
      <c r="AE69" s="326"/>
      <c r="AF69" s="326"/>
      <c r="AG69" s="326"/>
      <c r="AH69" s="326"/>
      <c r="AJ69" s="508"/>
      <c r="AK69" s="307"/>
      <c r="AL69" s="307"/>
      <c r="AM69" s="307"/>
      <c r="AN69" s="307"/>
      <c r="AO69" s="307"/>
      <c r="AP69" s="307"/>
      <c r="AQ69" s="307"/>
      <c r="AR69" s="307"/>
      <c r="AS69" s="307"/>
      <c r="AT69" s="307"/>
      <c r="AU69" s="307"/>
      <c r="AV69" s="307"/>
      <c r="AW69" s="307"/>
      <c r="AX69" s="307"/>
      <c r="AY69" s="307"/>
    </row>
    <row r="70" spans="1:51" s="308" customFormat="1" ht="13.8" x14ac:dyDescent="0.25">
      <c r="A70" s="1454" t="s">
        <v>40</v>
      </c>
      <c r="B70" s="1454"/>
      <c r="C70" s="1454"/>
      <c r="D70" s="1454"/>
      <c r="E70" s="1454"/>
      <c r="F70" s="1454"/>
      <c r="G70" s="1454"/>
      <c r="H70" s="1454"/>
      <c r="I70" s="1454"/>
      <c r="J70" s="1454"/>
      <c r="K70" s="1454"/>
      <c r="L70" s="1454"/>
      <c r="M70" s="1454"/>
      <c r="N70" s="1454"/>
      <c r="O70" s="1454"/>
      <c r="P70" s="1454"/>
      <c r="Q70" s="1454"/>
      <c r="R70" s="1454"/>
      <c r="S70" s="1454"/>
      <c r="T70" s="1454"/>
      <c r="U70" s="1454"/>
      <c r="V70" s="1454"/>
      <c r="W70" s="1454"/>
      <c r="X70" s="1454"/>
      <c r="Y70" s="1454"/>
      <c r="Z70" s="1454"/>
      <c r="AA70" s="1454"/>
      <c r="AB70" s="1454"/>
      <c r="AC70" s="1454"/>
      <c r="AD70" s="1454"/>
      <c r="AE70" s="1454"/>
      <c r="AF70" s="1454"/>
      <c r="AG70" s="1454"/>
      <c r="AH70" s="1454"/>
      <c r="AJ70" s="512"/>
    </row>
    <row r="71" spans="1:51" s="308" customFormat="1" ht="11.25" customHeight="1" x14ac:dyDescent="0.25">
      <c r="A71" s="326"/>
      <c r="B71" s="326"/>
      <c r="C71" s="326"/>
      <c r="D71" s="326"/>
      <c r="E71" s="326"/>
      <c r="F71" s="326"/>
      <c r="G71" s="326"/>
      <c r="H71" s="326"/>
      <c r="I71" s="326"/>
      <c r="J71" s="326"/>
      <c r="K71" s="326"/>
      <c r="L71" s="326"/>
      <c r="M71" s="326"/>
      <c r="N71" s="326"/>
      <c r="O71" s="326"/>
      <c r="P71" s="326"/>
      <c r="Q71" s="326"/>
      <c r="R71" s="326"/>
      <c r="S71" s="326"/>
      <c r="T71" s="326"/>
      <c r="U71" s="326"/>
      <c r="V71" s="326"/>
      <c r="W71" s="326"/>
      <c r="X71" s="326"/>
      <c r="Y71" s="326"/>
      <c r="Z71" s="326"/>
      <c r="AA71" s="326"/>
      <c r="AB71" s="326"/>
      <c r="AC71" s="326"/>
      <c r="AD71" s="326"/>
      <c r="AE71" s="326"/>
      <c r="AF71" s="326"/>
      <c r="AG71" s="326"/>
      <c r="AH71" s="326"/>
      <c r="AJ71" s="508"/>
      <c r="AK71" s="307"/>
      <c r="AL71" s="307"/>
      <c r="AM71" s="307"/>
      <c r="AN71" s="307"/>
      <c r="AO71" s="307"/>
      <c r="AP71" s="307"/>
      <c r="AQ71" s="307"/>
      <c r="AR71" s="307"/>
      <c r="AS71" s="307"/>
      <c r="AT71" s="307"/>
      <c r="AU71" s="307"/>
      <c r="AV71" s="307"/>
      <c r="AW71" s="307"/>
      <c r="AX71" s="307"/>
      <c r="AY71" s="307"/>
    </row>
    <row r="72" spans="1:51" s="308" customFormat="1" ht="27.9" customHeight="1" x14ac:dyDescent="0.25">
      <c r="A72" s="1454" t="s">
        <v>41</v>
      </c>
      <c r="B72" s="1454"/>
      <c r="C72" s="1454"/>
      <c r="D72" s="1454"/>
      <c r="E72" s="1454"/>
      <c r="F72" s="1454"/>
      <c r="G72" s="1454"/>
      <c r="H72" s="1454"/>
      <c r="I72" s="1454"/>
      <c r="J72" s="1454"/>
      <c r="K72" s="1454"/>
      <c r="L72" s="1454"/>
      <c r="M72" s="1454"/>
      <c r="N72" s="1454"/>
      <c r="O72" s="1454"/>
      <c r="P72" s="1454"/>
      <c r="Q72" s="1454"/>
      <c r="R72" s="1454"/>
      <c r="S72" s="1454"/>
      <c r="T72" s="1454"/>
      <c r="U72" s="1454"/>
      <c r="V72" s="1454"/>
      <c r="W72" s="1454"/>
      <c r="X72" s="1454"/>
      <c r="Y72" s="1454"/>
      <c r="Z72" s="1454"/>
      <c r="AA72" s="1454"/>
      <c r="AB72" s="1454"/>
      <c r="AC72" s="1454"/>
      <c r="AD72" s="1454"/>
      <c r="AE72" s="1454"/>
      <c r="AF72" s="1454"/>
      <c r="AG72" s="1454"/>
      <c r="AH72" s="1454"/>
      <c r="AJ72" s="512"/>
    </row>
    <row r="73" spans="1:51" s="308" customFormat="1" ht="11.25" customHeight="1" x14ac:dyDescent="0.25">
      <c r="A73" s="326"/>
      <c r="B73" s="326"/>
      <c r="C73" s="326"/>
      <c r="D73" s="326"/>
      <c r="E73" s="326"/>
      <c r="F73" s="326"/>
      <c r="G73" s="326"/>
      <c r="H73" s="326"/>
      <c r="I73" s="326"/>
      <c r="J73" s="326"/>
      <c r="K73" s="326"/>
      <c r="L73" s="326"/>
      <c r="M73" s="326"/>
      <c r="N73" s="326"/>
      <c r="O73" s="326"/>
      <c r="P73" s="326"/>
      <c r="Q73" s="326"/>
      <c r="R73" s="326"/>
      <c r="S73" s="326"/>
      <c r="T73" s="326"/>
      <c r="U73" s="326"/>
      <c r="V73" s="326"/>
      <c r="W73" s="326"/>
      <c r="X73" s="326"/>
      <c r="Y73" s="326"/>
      <c r="Z73" s="326"/>
      <c r="AA73" s="326"/>
      <c r="AB73" s="326"/>
      <c r="AC73" s="326"/>
      <c r="AD73" s="326"/>
      <c r="AE73" s="326"/>
      <c r="AF73" s="326"/>
      <c r="AG73" s="326"/>
      <c r="AH73" s="326"/>
      <c r="AJ73" s="508"/>
      <c r="AK73" s="307"/>
      <c r="AL73" s="307"/>
      <c r="AM73" s="307"/>
      <c r="AN73" s="307"/>
      <c r="AO73" s="307"/>
      <c r="AP73" s="307"/>
      <c r="AQ73" s="307"/>
      <c r="AR73" s="307"/>
      <c r="AS73" s="307"/>
      <c r="AT73" s="307"/>
      <c r="AU73" s="307"/>
      <c r="AV73" s="307"/>
      <c r="AW73" s="307"/>
      <c r="AX73" s="307"/>
      <c r="AY73" s="307"/>
    </row>
    <row r="74" spans="1:51" s="308" customFormat="1" ht="13.8" x14ac:dyDescent="0.25">
      <c r="A74" s="1454" t="s">
        <v>42</v>
      </c>
      <c r="B74" s="1454"/>
      <c r="C74" s="1454"/>
      <c r="D74" s="1454"/>
      <c r="E74" s="1454"/>
      <c r="F74" s="1454"/>
      <c r="G74" s="1454"/>
      <c r="H74" s="1454"/>
      <c r="I74" s="1454"/>
      <c r="J74" s="1454"/>
      <c r="K74" s="1454"/>
      <c r="L74" s="1454"/>
      <c r="M74" s="1454"/>
      <c r="N74" s="1454"/>
      <c r="O74" s="1454"/>
      <c r="P74" s="1454"/>
      <c r="Q74" s="1454"/>
      <c r="R74" s="1454"/>
      <c r="S74" s="1454"/>
      <c r="T74" s="1454"/>
      <c r="U74" s="1454"/>
      <c r="V74" s="1454"/>
      <c r="W74" s="1454"/>
      <c r="X74" s="1454"/>
      <c r="Y74" s="1454"/>
      <c r="Z74" s="1454"/>
      <c r="AA74" s="1454"/>
      <c r="AB74" s="1454"/>
      <c r="AC74" s="1454"/>
      <c r="AD74" s="1454"/>
      <c r="AE74" s="1454"/>
      <c r="AF74" s="1454"/>
      <c r="AG74" s="1454"/>
      <c r="AH74" s="1454"/>
      <c r="AJ74" s="512"/>
    </row>
    <row r="75" spans="1:51" s="308" customFormat="1" ht="11.25" customHeight="1" x14ac:dyDescent="0.25">
      <c r="A75" s="326"/>
      <c r="B75" s="326"/>
      <c r="C75" s="326"/>
      <c r="D75" s="326"/>
      <c r="E75" s="326"/>
      <c r="F75" s="326"/>
      <c r="G75" s="326"/>
      <c r="H75" s="326"/>
      <c r="I75" s="326"/>
      <c r="J75" s="326"/>
      <c r="K75" s="326"/>
      <c r="L75" s="326"/>
      <c r="M75" s="326"/>
      <c r="N75" s="326"/>
      <c r="O75" s="326"/>
      <c r="P75" s="326"/>
      <c r="Q75" s="326"/>
      <c r="R75" s="326"/>
      <c r="S75" s="326"/>
      <c r="T75" s="326"/>
      <c r="U75" s="326"/>
      <c r="V75" s="326"/>
      <c r="W75" s="326"/>
      <c r="X75" s="326"/>
      <c r="Y75" s="326"/>
      <c r="Z75" s="326"/>
      <c r="AA75" s="326"/>
      <c r="AB75" s="326"/>
      <c r="AC75" s="326"/>
      <c r="AD75" s="326"/>
      <c r="AE75" s="326"/>
      <c r="AF75" s="326"/>
      <c r="AG75" s="326"/>
      <c r="AH75" s="326"/>
      <c r="AJ75" s="508"/>
      <c r="AK75" s="307"/>
      <c r="AL75" s="307"/>
      <c r="AM75" s="307"/>
      <c r="AN75" s="307"/>
      <c r="AO75" s="307"/>
      <c r="AP75" s="307"/>
      <c r="AQ75" s="307"/>
      <c r="AR75" s="307"/>
      <c r="AS75" s="307"/>
      <c r="AT75" s="307"/>
      <c r="AU75" s="307"/>
      <c r="AV75" s="307"/>
      <c r="AW75" s="307"/>
      <c r="AX75" s="307"/>
      <c r="AY75" s="307"/>
    </row>
    <row r="76" spans="1:51" s="308" customFormat="1" ht="13.8" x14ac:dyDescent="0.25">
      <c r="A76" s="1454" t="s">
        <v>43</v>
      </c>
      <c r="B76" s="1454"/>
      <c r="C76" s="1454"/>
      <c r="D76" s="1454"/>
      <c r="E76" s="1454"/>
      <c r="F76" s="1454"/>
      <c r="G76" s="1454"/>
      <c r="H76" s="1454"/>
      <c r="I76" s="1454"/>
      <c r="J76" s="1454"/>
      <c r="K76" s="1454"/>
      <c r="L76" s="1454"/>
      <c r="M76" s="1454"/>
      <c r="N76" s="1454"/>
      <c r="O76" s="1454"/>
      <c r="P76" s="1454"/>
      <c r="Q76" s="1454"/>
      <c r="R76" s="1454"/>
      <c r="S76" s="1454"/>
      <c r="T76" s="1454"/>
      <c r="U76" s="1454"/>
      <c r="V76" s="1454"/>
      <c r="W76" s="1454"/>
      <c r="X76" s="1454"/>
      <c r="Y76" s="1454"/>
      <c r="Z76" s="1454"/>
      <c r="AA76" s="1454"/>
      <c r="AB76" s="1454"/>
      <c r="AC76" s="1454"/>
      <c r="AD76" s="1454"/>
      <c r="AE76" s="1454"/>
      <c r="AF76" s="1454"/>
      <c r="AG76" s="1454"/>
      <c r="AH76" s="1454"/>
      <c r="AJ76" s="512"/>
    </row>
    <row r="77" spans="1:51" s="308" customFormat="1" ht="11.25" customHeight="1" x14ac:dyDescent="0.25">
      <c r="A77" s="326"/>
      <c r="B77" s="326"/>
      <c r="C77" s="326"/>
      <c r="D77" s="326"/>
      <c r="E77" s="326"/>
      <c r="F77" s="326"/>
      <c r="G77" s="326"/>
      <c r="H77" s="326"/>
      <c r="I77" s="326"/>
      <c r="J77" s="326"/>
      <c r="K77" s="326"/>
      <c r="L77" s="326"/>
      <c r="M77" s="326"/>
      <c r="N77" s="326"/>
      <c r="O77" s="326"/>
      <c r="P77" s="326"/>
      <c r="Q77" s="326"/>
      <c r="R77" s="326"/>
      <c r="S77" s="326"/>
      <c r="T77" s="326"/>
      <c r="U77" s="326"/>
      <c r="V77" s="326"/>
      <c r="W77" s="326"/>
      <c r="X77" s="326"/>
      <c r="Y77" s="326"/>
      <c r="Z77" s="326"/>
      <c r="AA77" s="326"/>
      <c r="AB77" s="326"/>
      <c r="AC77" s="326"/>
      <c r="AD77" s="326"/>
      <c r="AE77" s="326"/>
      <c r="AF77" s="326"/>
      <c r="AG77" s="326"/>
      <c r="AH77" s="326"/>
      <c r="AJ77" s="508"/>
      <c r="AK77" s="307"/>
      <c r="AL77" s="307"/>
      <c r="AM77" s="307"/>
      <c r="AN77" s="307"/>
      <c r="AO77" s="307"/>
      <c r="AP77" s="307"/>
      <c r="AQ77" s="307"/>
      <c r="AR77" s="307"/>
      <c r="AS77" s="307"/>
      <c r="AT77" s="307"/>
      <c r="AU77" s="307"/>
      <c r="AV77" s="307"/>
      <c r="AW77" s="307"/>
      <c r="AX77" s="307"/>
      <c r="AY77" s="307"/>
    </row>
    <row r="78" spans="1:51" s="308" customFormat="1" ht="27.9" customHeight="1" x14ac:dyDescent="0.25">
      <c r="A78" s="1454" t="s">
        <v>44</v>
      </c>
      <c r="B78" s="1454"/>
      <c r="C78" s="1454"/>
      <c r="D78" s="1454"/>
      <c r="E78" s="1454"/>
      <c r="F78" s="1454"/>
      <c r="G78" s="1454"/>
      <c r="H78" s="1454"/>
      <c r="I78" s="1454"/>
      <c r="J78" s="1454"/>
      <c r="K78" s="1454"/>
      <c r="L78" s="1454"/>
      <c r="M78" s="1454"/>
      <c r="N78" s="1454"/>
      <c r="O78" s="1454"/>
      <c r="P78" s="1454"/>
      <c r="Q78" s="1454"/>
      <c r="R78" s="1454"/>
      <c r="S78" s="1454"/>
      <c r="T78" s="1454"/>
      <c r="U78" s="1454"/>
      <c r="V78" s="1454"/>
      <c r="W78" s="1454"/>
      <c r="X78" s="1454"/>
      <c r="Y78" s="1454"/>
      <c r="Z78" s="1454"/>
      <c r="AA78" s="1454"/>
      <c r="AB78" s="1454"/>
      <c r="AC78" s="1454"/>
      <c r="AD78" s="1454"/>
      <c r="AE78" s="1454"/>
      <c r="AF78" s="1454"/>
      <c r="AG78" s="1454"/>
      <c r="AH78" s="1454"/>
      <c r="AJ78" s="512"/>
    </row>
    <row r="79" spans="1:51" s="308" customFormat="1" ht="11.25" customHeight="1" x14ac:dyDescent="0.25">
      <c r="A79" s="326"/>
      <c r="B79" s="326"/>
      <c r="C79" s="326"/>
      <c r="D79" s="326"/>
      <c r="E79" s="326"/>
      <c r="F79" s="326"/>
      <c r="G79" s="326"/>
      <c r="H79" s="326"/>
      <c r="I79" s="326"/>
      <c r="J79" s="326"/>
      <c r="K79" s="326"/>
      <c r="L79" s="326"/>
      <c r="M79" s="326"/>
      <c r="N79" s="326"/>
      <c r="O79" s="326"/>
      <c r="P79" s="326"/>
      <c r="Q79" s="326"/>
      <c r="R79" s="326"/>
      <c r="S79" s="326"/>
      <c r="T79" s="326"/>
      <c r="U79" s="326"/>
      <c r="V79" s="326"/>
      <c r="W79" s="326"/>
      <c r="X79" s="326"/>
      <c r="Y79" s="326"/>
      <c r="Z79" s="326"/>
      <c r="AA79" s="326"/>
      <c r="AB79" s="326"/>
      <c r="AC79" s="326"/>
      <c r="AD79" s="326"/>
      <c r="AE79" s="326"/>
      <c r="AF79" s="326"/>
      <c r="AG79" s="326"/>
      <c r="AH79" s="326"/>
      <c r="AJ79" s="508"/>
      <c r="AK79" s="307"/>
      <c r="AL79" s="307"/>
      <c r="AM79" s="307"/>
      <c r="AN79" s="307"/>
      <c r="AO79" s="307"/>
      <c r="AP79" s="307"/>
      <c r="AQ79" s="307"/>
      <c r="AR79" s="307"/>
      <c r="AS79" s="307"/>
      <c r="AT79" s="307"/>
      <c r="AU79" s="307"/>
      <c r="AV79" s="307"/>
      <c r="AW79" s="307"/>
      <c r="AX79" s="307"/>
      <c r="AY79" s="307"/>
    </row>
    <row r="80" spans="1:51" s="308" customFormat="1" ht="13.8" x14ac:dyDescent="0.25">
      <c r="A80" s="1454" t="s">
        <v>45</v>
      </c>
      <c r="B80" s="1454"/>
      <c r="C80" s="1454"/>
      <c r="D80" s="1454"/>
      <c r="E80" s="1454"/>
      <c r="F80" s="1454"/>
      <c r="G80" s="1454"/>
      <c r="H80" s="1454"/>
      <c r="I80" s="1454"/>
      <c r="J80" s="1454"/>
      <c r="K80" s="1454"/>
      <c r="L80" s="1454"/>
      <c r="M80" s="1454"/>
      <c r="N80" s="1454"/>
      <c r="O80" s="1454"/>
      <c r="P80" s="1454"/>
      <c r="Q80" s="1454"/>
      <c r="R80" s="1454"/>
      <c r="S80" s="1454"/>
      <c r="T80" s="1454"/>
      <c r="U80" s="1454"/>
      <c r="V80" s="1454"/>
      <c r="W80" s="1454"/>
      <c r="X80" s="1454"/>
      <c r="Y80" s="1454"/>
      <c r="Z80" s="1454"/>
      <c r="AA80" s="1454"/>
      <c r="AB80" s="1454"/>
      <c r="AC80" s="1454"/>
      <c r="AD80" s="1454"/>
      <c r="AE80" s="1454"/>
      <c r="AF80" s="1454"/>
      <c r="AG80" s="1454"/>
      <c r="AH80" s="1454"/>
      <c r="AJ80" s="508"/>
      <c r="AK80" s="657"/>
      <c r="AL80" s="657"/>
      <c r="AM80" s="657"/>
      <c r="AN80" s="657"/>
      <c r="AO80" s="657"/>
      <c r="AP80" s="657"/>
      <c r="AQ80" s="657"/>
      <c r="AR80" s="657"/>
      <c r="AS80" s="657"/>
      <c r="AT80" s="657"/>
      <c r="AU80" s="657"/>
      <c r="AV80" s="657"/>
      <c r="AW80" s="657"/>
      <c r="AX80" s="657"/>
      <c r="AY80" s="657"/>
    </row>
    <row r="81" spans="1:51" s="308" customFormat="1" ht="11.25" customHeight="1" x14ac:dyDescent="0.25">
      <c r="A81" s="326"/>
      <c r="B81" s="326"/>
      <c r="C81" s="326"/>
      <c r="D81" s="326"/>
      <c r="E81" s="326"/>
      <c r="F81" s="326"/>
      <c r="G81" s="326"/>
      <c r="H81" s="326"/>
      <c r="I81" s="326"/>
      <c r="J81" s="326"/>
      <c r="K81" s="326"/>
      <c r="L81" s="326"/>
      <c r="M81" s="326"/>
      <c r="N81" s="326"/>
      <c r="O81" s="326"/>
      <c r="P81" s="326"/>
      <c r="Q81" s="326"/>
      <c r="R81" s="326"/>
      <c r="S81" s="326"/>
      <c r="T81" s="326"/>
      <c r="U81" s="326"/>
      <c r="V81" s="326"/>
      <c r="W81" s="326"/>
      <c r="X81" s="326"/>
      <c r="Y81" s="326"/>
      <c r="Z81" s="326"/>
      <c r="AA81" s="326"/>
      <c r="AB81" s="326"/>
      <c r="AC81" s="326"/>
      <c r="AD81" s="326"/>
      <c r="AE81" s="326"/>
      <c r="AF81" s="326"/>
      <c r="AG81" s="326"/>
      <c r="AH81" s="326"/>
      <c r="AJ81" s="508"/>
      <c r="AK81" s="307"/>
      <c r="AL81" s="307"/>
      <c r="AM81" s="307"/>
      <c r="AN81" s="307"/>
      <c r="AO81" s="307"/>
      <c r="AP81" s="307"/>
      <c r="AQ81" s="307"/>
      <c r="AR81" s="307"/>
      <c r="AS81" s="307"/>
      <c r="AT81" s="307"/>
      <c r="AU81" s="307"/>
      <c r="AV81" s="307"/>
      <c r="AW81" s="307"/>
      <c r="AX81" s="307"/>
      <c r="AY81" s="307"/>
    </row>
    <row r="82" spans="1:51" s="308" customFormat="1" ht="13.8" x14ac:dyDescent="0.25">
      <c r="A82" s="1454" t="s">
        <v>46</v>
      </c>
      <c r="B82" s="1454"/>
      <c r="C82" s="1454"/>
      <c r="D82" s="1454"/>
      <c r="E82" s="1454"/>
      <c r="F82" s="1454"/>
      <c r="G82" s="1454"/>
      <c r="H82" s="1454"/>
      <c r="I82" s="1454"/>
      <c r="J82" s="1454"/>
      <c r="K82" s="1454"/>
      <c r="L82" s="1454"/>
      <c r="M82" s="1454"/>
      <c r="N82" s="1454"/>
      <c r="O82" s="1454"/>
      <c r="P82" s="1454"/>
      <c r="Q82" s="1454"/>
      <c r="R82" s="1454"/>
      <c r="S82" s="1454"/>
      <c r="T82" s="1454"/>
      <c r="U82" s="1454"/>
      <c r="V82" s="1454"/>
      <c r="W82" s="1454"/>
      <c r="X82" s="1454"/>
      <c r="Y82" s="1454"/>
      <c r="Z82" s="1454"/>
      <c r="AA82" s="1454"/>
      <c r="AB82" s="1454"/>
      <c r="AC82" s="1454"/>
      <c r="AD82" s="1454"/>
      <c r="AE82" s="1454"/>
      <c r="AF82" s="1454"/>
      <c r="AG82" s="1454"/>
      <c r="AH82" s="1454"/>
      <c r="AJ82" s="508"/>
      <c r="AK82" s="657"/>
      <c r="AL82" s="657"/>
      <c r="AM82" s="657"/>
      <c r="AN82" s="657"/>
      <c r="AO82" s="657"/>
      <c r="AP82" s="657"/>
      <c r="AQ82" s="657"/>
      <c r="AR82" s="657"/>
      <c r="AS82" s="657"/>
      <c r="AT82" s="657"/>
      <c r="AU82" s="657"/>
      <c r="AV82" s="657"/>
      <c r="AW82" s="657"/>
      <c r="AX82" s="657"/>
      <c r="AY82" s="657"/>
    </row>
    <row r="83" spans="1:51" s="308" customFormat="1" ht="11.25" customHeight="1" x14ac:dyDescent="0.25">
      <c r="A83" s="326"/>
      <c r="B83" s="326"/>
      <c r="C83" s="326"/>
      <c r="D83" s="326"/>
      <c r="E83" s="326"/>
      <c r="F83" s="326"/>
      <c r="G83" s="326"/>
      <c r="H83" s="326"/>
      <c r="I83" s="326"/>
      <c r="J83" s="326"/>
      <c r="K83" s="326"/>
      <c r="L83" s="326"/>
      <c r="M83" s="326"/>
      <c r="N83" s="326"/>
      <c r="O83" s="326"/>
      <c r="P83" s="326"/>
      <c r="Q83" s="326"/>
      <c r="R83" s="326"/>
      <c r="S83" s="326"/>
      <c r="T83" s="326"/>
      <c r="U83" s="326"/>
      <c r="V83" s="326"/>
      <c r="W83" s="326"/>
      <c r="X83" s="326"/>
      <c r="Y83" s="326"/>
      <c r="Z83" s="326"/>
      <c r="AA83" s="326"/>
      <c r="AB83" s="326"/>
      <c r="AC83" s="326"/>
      <c r="AD83" s="326"/>
      <c r="AE83" s="326"/>
      <c r="AF83" s="326"/>
      <c r="AG83" s="326"/>
      <c r="AH83" s="326"/>
      <c r="AJ83" s="508"/>
      <c r="AK83" s="307"/>
      <c r="AL83" s="307"/>
      <c r="AM83" s="307"/>
      <c r="AN83" s="307"/>
      <c r="AO83" s="307"/>
      <c r="AP83" s="307"/>
      <c r="AQ83" s="307"/>
      <c r="AR83" s="307"/>
      <c r="AS83" s="307"/>
      <c r="AT83" s="307"/>
      <c r="AU83" s="307"/>
      <c r="AV83" s="307"/>
      <c r="AW83" s="307"/>
      <c r="AX83" s="307"/>
      <c r="AY83" s="307"/>
    </row>
    <row r="84" spans="1:51" s="308" customFormat="1" ht="13.8" x14ac:dyDescent="0.25">
      <c r="A84" s="1454" t="s">
        <v>47</v>
      </c>
      <c r="B84" s="1454"/>
      <c r="C84" s="1454"/>
      <c r="D84" s="1454"/>
      <c r="E84" s="1454"/>
      <c r="F84" s="1454"/>
      <c r="G84" s="1454"/>
      <c r="H84" s="1454"/>
      <c r="I84" s="1454"/>
      <c r="J84" s="1454"/>
      <c r="K84" s="1454"/>
      <c r="L84" s="1454"/>
      <c r="M84" s="1454"/>
      <c r="N84" s="1454"/>
      <c r="O84" s="1454"/>
      <c r="P84" s="1454"/>
      <c r="Q84" s="1454"/>
      <c r="R84" s="1454"/>
      <c r="S84" s="1454"/>
      <c r="T84" s="1454"/>
      <c r="U84" s="1454"/>
      <c r="V84" s="1454"/>
      <c r="W84" s="1454"/>
      <c r="X84" s="1454"/>
      <c r="Y84" s="1454"/>
      <c r="Z84" s="1454"/>
      <c r="AA84" s="1454"/>
      <c r="AB84" s="1454"/>
      <c r="AC84" s="1454"/>
      <c r="AD84" s="1454"/>
      <c r="AE84" s="1454"/>
      <c r="AF84" s="1454"/>
      <c r="AG84" s="1454"/>
      <c r="AH84" s="1454"/>
      <c r="AJ84" s="508"/>
      <c r="AK84" s="657"/>
      <c r="AL84" s="657"/>
      <c r="AM84" s="657"/>
      <c r="AN84" s="657"/>
      <c r="AO84" s="657"/>
      <c r="AP84" s="657"/>
      <c r="AQ84" s="657"/>
      <c r="AR84" s="657"/>
      <c r="AS84" s="657"/>
      <c r="AT84" s="657"/>
      <c r="AU84" s="657"/>
      <c r="AV84" s="657"/>
      <c r="AW84" s="657"/>
      <c r="AX84" s="657"/>
      <c r="AY84" s="657"/>
    </row>
    <row r="85" spans="1:51" ht="19.5" customHeight="1" x14ac:dyDescent="0.25">
      <c r="AJ85" s="652"/>
    </row>
    <row r="86" spans="1:51" s="308" customFormat="1" ht="12.75" customHeight="1" x14ac:dyDescent="0.25">
      <c r="A86" s="1428" t="s">
        <v>48</v>
      </c>
      <c r="B86" s="1428"/>
      <c r="C86" s="1428"/>
      <c r="D86" s="1428"/>
      <c r="E86" s="1428"/>
      <c r="F86" s="1428"/>
      <c r="G86" s="1428"/>
      <c r="H86" s="1428"/>
      <c r="I86" s="1428"/>
      <c r="J86" s="1428"/>
      <c r="K86" s="1428"/>
      <c r="L86" s="1428"/>
      <c r="M86" s="1428"/>
      <c r="N86" s="1428"/>
      <c r="O86" s="1428"/>
      <c r="P86" s="1428"/>
      <c r="Q86" s="1428"/>
      <c r="R86" s="1428"/>
      <c r="S86" s="1428"/>
      <c r="T86" s="1428"/>
      <c r="U86" s="1428"/>
      <c r="V86" s="1428"/>
      <c r="W86" s="1428"/>
      <c r="X86" s="1428"/>
      <c r="Y86" s="1428"/>
      <c r="Z86" s="1428"/>
      <c r="AA86" s="1428"/>
      <c r="AB86" s="1428"/>
      <c r="AC86" s="1428"/>
      <c r="AD86" s="1428"/>
      <c r="AE86" s="1428"/>
      <c r="AF86" s="1428"/>
      <c r="AG86" s="1428"/>
      <c r="AH86" s="1428"/>
      <c r="AJ86" s="512"/>
    </row>
    <row r="87" spans="1:51" s="308" customFormat="1" ht="11.25" customHeight="1" x14ac:dyDescent="0.25">
      <c r="A87" s="326"/>
      <c r="B87" s="326"/>
      <c r="C87" s="326"/>
      <c r="D87" s="326"/>
      <c r="E87" s="326"/>
      <c r="F87" s="326"/>
      <c r="G87" s="326"/>
      <c r="H87" s="326"/>
      <c r="I87" s="326"/>
      <c r="J87" s="326"/>
      <c r="K87" s="326"/>
      <c r="L87" s="326"/>
      <c r="M87" s="326"/>
      <c r="N87" s="326"/>
      <c r="O87" s="326"/>
      <c r="P87" s="326"/>
      <c r="Q87" s="326"/>
      <c r="R87" s="326"/>
      <c r="S87" s="326"/>
      <c r="T87" s="326"/>
      <c r="U87" s="326"/>
      <c r="V87" s="326"/>
      <c r="W87" s="326"/>
      <c r="X87" s="326"/>
      <c r="Y87" s="326"/>
      <c r="Z87" s="326"/>
      <c r="AA87" s="326"/>
      <c r="AB87" s="326"/>
      <c r="AC87" s="326"/>
      <c r="AD87" s="326"/>
      <c r="AE87" s="326"/>
      <c r="AF87" s="326"/>
      <c r="AG87" s="326"/>
      <c r="AH87" s="326"/>
      <c r="AJ87" s="508"/>
      <c r="AK87" s="307"/>
      <c r="AL87" s="307"/>
      <c r="AM87" s="307"/>
      <c r="AN87" s="307"/>
      <c r="AO87" s="307"/>
      <c r="AP87" s="307"/>
      <c r="AQ87" s="307"/>
      <c r="AR87" s="307"/>
      <c r="AS87" s="307"/>
      <c r="AT87" s="307"/>
      <c r="AU87" s="307"/>
      <c r="AV87" s="307"/>
      <c r="AW87" s="307"/>
      <c r="AX87" s="307"/>
      <c r="AY87" s="307"/>
    </row>
    <row r="88" spans="1:51" s="308" customFormat="1" ht="15" customHeight="1" x14ac:dyDescent="0.25">
      <c r="A88" s="1456" t="s">
        <v>28</v>
      </c>
      <c r="B88" s="1456"/>
      <c r="C88" s="1456"/>
      <c r="D88" s="1456"/>
      <c r="E88" s="1456"/>
      <c r="F88" s="1456"/>
      <c r="G88" s="1456"/>
      <c r="H88" s="1456"/>
      <c r="I88" s="1456"/>
      <c r="J88" s="1456"/>
      <c r="K88" s="1456"/>
      <c r="L88" s="1456"/>
      <c r="M88" s="1456"/>
      <c r="N88" s="1456"/>
      <c r="O88" s="1456"/>
      <c r="P88" s="1456"/>
      <c r="Q88" s="1456"/>
      <c r="R88" s="1456"/>
      <c r="S88" s="1456"/>
      <c r="T88" s="1456"/>
      <c r="U88" s="1456"/>
      <c r="V88" s="1456"/>
      <c r="W88" s="1456"/>
      <c r="X88" s="1456"/>
      <c r="Y88" s="1456"/>
      <c r="Z88" s="1456"/>
      <c r="AA88" s="1456"/>
      <c r="AB88" s="1456"/>
      <c r="AC88" s="1456"/>
      <c r="AD88" s="1456"/>
      <c r="AE88" s="1456"/>
      <c r="AF88" s="1456"/>
      <c r="AG88" s="1456"/>
      <c r="AH88" s="1456"/>
      <c r="AJ88" s="512"/>
    </row>
    <row r="89" spans="1:51" s="308" customFormat="1" ht="11.25" customHeight="1" x14ac:dyDescent="0.25">
      <c r="A89" s="326"/>
      <c r="B89" s="326"/>
      <c r="C89" s="326"/>
      <c r="D89" s="326"/>
      <c r="E89" s="326"/>
      <c r="F89" s="326"/>
      <c r="G89" s="326"/>
      <c r="H89" s="326"/>
      <c r="I89" s="326"/>
      <c r="J89" s="326"/>
      <c r="K89" s="326"/>
      <c r="L89" s="326"/>
      <c r="M89" s="326"/>
      <c r="N89" s="326"/>
      <c r="O89" s="326"/>
      <c r="P89" s="326"/>
      <c r="Q89" s="326"/>
      <c r="R89" s="326"/>
      <c r="S89" s="326"/>
      <c r="T89" s="326"/>
      <c r="U89" s="326"/>
      <c r="V89" s="326"/>
      <c r="W89" s="326"/>
      <c r="X89" s="326"/>
      <c r="Y89" s="326"/>
      <c r="Z89" s="326"/>
      <c r="AA89" s="326"/>
      <c r="AB89" s="326"/>
      <c r="AC89" s="326"/>
      <c r="AD89" s="326"/>
      <c r="AE89" s="326"/>
      <c r="AF89" s="326"/>
      <c r="AG89" s="326"/>
      <c r="AH89" s="326"/>
      <c r="AJ89" s="508"/>
      <c r="AK89" s="307"/>
      <c r="AL89" s="307"/>
      <c r="AM89" s="307"/>
      <c r="AN89" s="307"/>
      <c r="AO89" s="307"/>
      <c r="AP89" s="307"/>
      <c r="AQ89" s="307"/>
      <c r="AR89" s="307"/>
      <c r="AS89" s="307"/>
      <c r="AT89" s="307"/>
      <c r="AU89" s="307"/>
      <c r="AV89" s="307"/>
      <c r="AW89" s="307"/>
      <c r="AX89" s="307"/>
      <c r="AY89" s="307"/>
    </row>
    <row r="90" spans="1:51" s="305" customFormat="1" ht="13.8" x14ac:dyDescent="0.25">
      <c r="A90" s="1459" t="s">
        <v>49</v>
      </c>
      <c r="B90" s="1459"/>
      <c r="C90" s="1459"/>
      <c r="D90" s="1459"/>
      <c r="E90" s="1459"/>
      <c r="F90" s="1459"/>
      <c r="G90" s="1459"/>
      <c r="H90" s="1459"/>
      <c r="I90" s="1459"/>
      <c r="J90" s="1459"/>
      <c r="K90" s="1459"/>
      <c r="L90" s="1459"/>
      <c r="M90" s="1459"/>
      <c r="N90" s="1459"/>
      <c r="O90" s="1459"/>
      <c r="P90" s="1459"/>
      <c r="Q90" s="1459"/>
      <c r="R90" s="1459"/>
      <c r="S90" s="1459"/>
      <c r="T90" s="1459"/>
      <c r="U90" s="1459"/>
      <c r="V90" s="1459"/>
      <c r="W90" s="1459"/>
      <c r="X90" s="1459"/>
      <c r="Y90" s="1459"/>
      <c r="Z90" s="1459"/>
      <c r="AA90" s="1459"/>
      <c r="AB90" s="513"/>
      <c r="AC90" s="513"/>
      <c r="AD90" s="513"/>
      <c r="AE90" s="513"/>
      <c r="AF90" s="513"/>
      <c r="AG90" s="513"/>
      <c r="AH90" s="513"/>
      <c r="AI90" s="513"/>
      <c r="AJ90" s="651"/>
    </row>
    <row r="91" spans="1:51" s="308" customFormat="1" ht="11.25" customHeight="1" x14ac:dyDescent="0.25">
      <c r="A91" s="326"/>
      <c r="B91" s="326"/>
      <c r="C91" s="326"/>
      <c r="D91" s="326"/>
      <c r="E91" s="326"/>
      <c r="F91" s="326"/>
      <c r="G91" s="326"/>
      <c r="H91" s="326"/>
      <c r="I91" s="326"/>
      <c r="J91" s="326"/>
      <c r="K91" s="326"/>
      <c r="L91" s="326"/>
      <c r="M91" s="326"/>
      <c r="N91" s="326"/>
      <c r="O91" s="326"/>
      <c r="P91" s="326"/>
      <c r="Q91" s="326"/>
      <c r="R91" s="326"/>
      <c r="S91" s="326"/>
      <c r="T91" s="326"/>
      <c r="U91" s="326"/>
      <c r="V91" s="326"/>
      <c r="W91" s="326"/>
      <c r="X91" s="326"/>
      <c r="Y91" s="326"/>
      <c r="Z91" s="326"/>
      <c r="AA91" s="326"/>
      <c r="AB91" s="326"/>
      <c r="AC91" s="326"/>
      <c r="AD91" s="326"/>
      <c r="AE91" s="326"/>
      <c r="AF91" s="326"/>
      <c r="AG91" s="326"/>
      <c r="AH91" s="326"/>
      <c r="AJ91" s="508"/>
      <c r="AK91" s="307"/>
      <c r="AL91" s="307"/>
      <c r="AM91" s="307"/>
      <c r="AN91" s="307"/>
      <c r="AO91" s="307"/>
      <c r="AP91" s="307"/>
      <c r="AQ91" s="307"/>
      <c r="AR91" s="307"/>
      <c r="AS91" s="307"/>
      <c r="AT91" s="307"/>
      <c r="AU91" s="307"/>
      <c r="AV91" s="307"/>
      <c r="AW91" s="307"/>
      <c r="AX91" s="307"/>
      <c r="AY91" s="307"/>
    </row>
    <row r="92" spans="1:51" s="305" customFormat="1" ht="14.1" customHeight="1" x14ac:dyDescent="0.25">
      <c r="A92" s="1426" t="s">
        <v>50</v>
      </c>
      <c r="B92" s="1426"/>
      <c r="C92" s="1426"/>
      <c r="D92" s="1426"/>
      <c r="E92" s="1426"/>
      <c r="F92" s="1426"/>
      <c r="G92" s="1426"/>
      <c r="H92" s="1426"/>
      <c r="I92" s="1426"/>
      <c r="J92" s="1426"/>
      <c r="K92" s="1426"/>
      <c r="L92" s="1426"/>
      <c r="M92" s="1426"/>
      <c r="N92" s="1426"/>
      <c r="O92" s="1426"/>
      <c r="P92" s="1426"/>
      <c r="Q92" s="1426"/>
      <c r="R92" s="1426"/>
      <c r="S92" s="1426"/>
      <c r="T92" s="1426"/>
      <c r="U92" s="1426"/>
      <c r="V92" s="1426"/>
      <c r="W92" s="1426"/>
      <c r="X92" s="1426"/>
      <c r="Y92" s="1426"/>
      <c r="Z92" s="1426"/>
      <c r="AA92" s="1426"/>
      <c r="AB92" s="1426"/>
      <c r="AC92" s="1426"/>
      <c r="AD92" s="1426"/>
      <c r="AE92" s="1426"/>
      <c r="AF92" s="1426"/>
      <c r="AG92" s="1426"/>
      <c r="AH92" s="1426"/>
      <c r="AJ92" s="651"/>
    </row>
    <row r="93" spans="1:51" s="305" customFormat="1" ht="13.65" customHeight="1" x14ac:dyDescent="0.25">
      <c r="F93" s="1422" t="s">
        <v>1</v>
      </c>
      <c r="G93" s="1422"/>
      <c r="H93" s="1422"/>
      <c r="I93" s="1422"/>
      <c r="J93" s="1422"/>
      <c r="K93" s="1422"/>
      <c r="L93" s="1422"/>
      <c r="M93" s="1422"/>
      <c r="N93" s="1422"/>
      <c r="O93" s="1422"/>
      <c r="P93" s="1422"/>
      <c r="Q93" s="1422"/>
      <c r="R93" s="1422"/>
      <c r="S93" s="1422"/>
      <c r="T93" s="1422" t="s">
        <v>51</v>
      </c>
      <c r="U93" s="1422"/>
      <c r="V93" s="1422"/>
      <c r="W93" s="1422"/>
      <c r="X93" s="1422"/>
      <c r="Y93" s="1422"/>
      <c r="Z93" s="1422"/>
      <c r="AA93" s="1422"/>
      <c r="AB93" s="1422"/>
      <c r="AC93" s="1422"/>
      <c r="AJ93" s="651"/>
    </row>
    <row r="94" spans="1:51" s="233" customFormat="1" ht="15" customHeight="1" x14ac:dyDescent="0.25">
      <c r="F94" s="1461" t="s">
        <v>52</v>
      </c>
      <c r="G94" s="1461"/>
      <c r="H94" s="1461"/>
      <c r="I94" s="1461"/>
      <c r="J94" s="1461"/>
      <c r="K94" s="1461"/>
      <c r="L94" s="1461"/>
      <c r="M94" s="1461"/>
      <c r="N94" s="1461"/>
      <c r="O94" s="1461"/>
      <c r="P94" s="1461"/>
      <c r="Q94" s="1461"/>
      <c r="R94" s="1461"/>
      <c r="S94" s="1461"/>
      <c r="T94" s="1460" t="s">
        <v>53</v>
      </c>
      <c r="U94" s="1460"/>
      <c r="V94" s="1460"/>
      <c r="W94" s="1460"/>
      <c r="X94" s="1460"/>
      <c r="Y94" s="1460"/>
      <c r="Z94" s="1460"/>
      <c r="AA94" s="1460"/>
      <c r="AB94" s="1460"/>
      <c r="AC94" s="1460"/>
      <c r="AJ94" s="653"/>
    </row>
    <row r="95" spans="1:51" s="233" customFormat="1" ht="15" customHeight="1" x14ac:dyDescent="0.25">
      <c r="F95" s="1461" t="s">
        <v>54</v>
      </c>
      <c r="G95" s="1461"/>
      <c r="H95" s="1461"/>
      <c r="I95" s="1461"/>
      <c r="J95" s="1461"/>
      <c r="K95" s="1461"/>
      <c r="L95" s="1461"/>
      <c r="M95" s="1461"/>
      <c r="N95" s="1461"/>
      <c r="O95" s="1461"/>
      <c r="P95" s="1461"/>
      <c r="Q95" s="1461"/>
      <c r="R95" s="1461"/>
      <c r="S95" s="1461"/>
      <c r="T95" s="1460" t="s">
        <v>55</v>
      </c>
      <c r="U95" s="1460"/>
      <c r="V95" s="1460"/>
      <c r="W95" s="1460"/>
      <c r="X95" s="1460"/>
      <c r="Y95" s="1460"/>
      <c r="Z95" s="1460"/>
      <c r="AA95" s="1460"/>
      <c r="AB95" s="1460"/>
      <c r="AC95" s="1460"/>
      <c r="AJ95" s="1427" t="s">
        <v>56</v>
      </c>
      <c r="AK95" s="1427"/>
      <c r="AL95" s="1427"/>
      <c r="AM95" s="1427"/>
      <c r="AN95" s="1427"/>
      <c r="AO95" s="1427"/>
      <c r="AP95" s="1427"/>
    </row>
    <row r="96" spans="1:51" s="233" customFormat="1" ht="15" customHeight="1" x14ac:dyDescent="0.25">
      <c r="F96" s="1461" t="s">
        <v>57</v>
      </c>
      <c r="G96" s="1461"/>
      <c r="H96" s="1461"/>
      <c r="I96" s="1461"/>
      <c r="J96" s="1461"/>
      <c r="K96" s="1461"/>
      <c r="L96" s="1461"/>
      <c r="M96" s="1461"/>
      <c r="N96" s="1461"/>
      <c r="O96" s="1461"/>
      <c r="P96" s="1461"/>
      <c r="Q96" s="1461"/>
      <c r="R96" s="1461"/>
      <c r="S96" s="1461"/>
      <c r="T96" s="1460" t="s">
        <v>58</v>
      </c>
      <c r="U96" s="1460"/>
      <c r="V96" s="1460"/>
      <c r="W96" s="1460"/>
      <c r="X96" s="1460"/>
      <c r="Y96" s="1460"/>
      <c r="Z96" s="1460"/>
      <c r="AA96" s="1460"/>
      <c r="AB96" s="1460"/>
      <c r="AC96" s="1460"/>
      <c r="AJ96" s="1427"/>
      <c r="AK96" s="1427"/>
      <c r="AL96" s="1427"/>
      <c r="AM96" s="1427"/>
      <c r="AN96" s="1427"/>
      <c r="AO96" s="1427"/>
      <c r="AP96" s="1427"/>
    </row>
    <row r="97" spans="1:51" s="233" customFormat="1" ht="15" customHeight="1" x14ac:dyDescent="0.25">
      <c r="F97" s="1461"/>
      <c r="G97" s="1461"/>
      <c r="H97" s="1461"/>
      <c r="I97" s="1461"/>
      <c r="J97" s="1461"/>
      <c r="K97" s="1461"/>
      <c r="L97" s="1461"/>
      <c r="M97" s="1461"/>
      <c r="N97" s="1461"/>
      <c r="O97" s="1461"/>
      <c r="P97" s="1461"/>
      <c r="Q97" s="1461"/>
      <c r="R97" s="1461"/>
      <c r="S97" s="1461"/>
      <c r="T97" s="1460" t="s">
        <v>59</v>
      </c>
      <c r="U97" s="1460"/>
      <c r="V97" s="1460"/>
      <c r="W97" s="1460"/>
      <c r="X97" s="1460"/>
      <c r="Y97" s="1460"/>
      <c r="Z97" s="1460"/>
      <c r="AA97" s="1460"/>
      <c r="AB97" s="1460"/>
      <c r="AC97" s="1460"/>
      <c r="AJ97" s="1427"/>
      <c r="AK97" s="1427"/>
      <c r="AL97" s="1427"/>
      <c r="AM97" s="1427"/>
      <c r="AN97" s="1427"/>
      <c r="AO97" s="1427"/>
      <c r="AP97" s="1427"/>
    </row>
    <row r="98" spans="1:51" s="233" customFormat="1" ht="15" customHeight="1" x14ac:dyDescent="0.25">
      <c r="F98" s="1461"/>
      <c r="G98" s="1461"/>
      <c r="H98" s="1461"/>
      <c r="I98" s="1461"/>
      <c r="J98" s="1461"/>
      <c r="K98" s="1461"/>
      <c r="L98" s="1461"/>
      <c r="M98" s="1461"/>
      <c r="N98" s="1461"/>
      <c r="O98" s="1461"/>
      <c r="P98" s="1461"/>
      <c r="Q98" s="1461"/>
      <c r="R98" s="1461"/>
      <c r="S98" s="1461"/>
      <c r="T98" s="1460" t="s">
        <v>60</v>
      </c>
      <c r="U98" s="1460"/>
      <c r="V98" s="1460"/>
      <c r="W98" s="1460"/>
      <c r="X98" s="1460"/>
      <c r="Y98" s="1460"/>
      <c r="Z98" s="1460"/>
      <c r="AA98" s="1460"/>
      <c r="AB98" s="1460"/>
      <c r="AC98" s="1460"/>
      <c r="AJ98" s="1427"/>
      <c r="AK98" s="1427"/>
      <c r="AL98" s="1427"/>
      <c r="AM98" s="1427"/>
      <c r="AN98" s="1427"/>
      <c r="AO98" s="1427"/>
      <c r="AP98" s="1427"/>
    </row>
    <row r="99" spans="1:51" s="233" customFormat="1" ht="15" customHeight="1" x14ac:dyDescent="0.25">
      <c r="F99" s="1461" t="s">
        <v>61</v>
      </c>
      <c r="G99" s="1461"/>
      <c r="H99" s="1461"/>
      <c r="I99" s="1461"/>
      <c r="J99" s="1461"/>
      <c r="K99" s="1461"/>
      <c r="L99" s="1461"/>
      <c r="M99" s="1461"/>
      <c r="N99" s="1461"/>
      <c r="O99" s="1461"/>
      <c r="P99" s="1461"/>
      <c r="Q99" s="1461"/>
      <c r="R99" s="1461"/>
      <c r="S99" s="1461"/>
      <c r="T99" s="1460" t="s">
        <v>62</v>
      </c>
      <c r="U99" s="1460"/>
      <c r="V99" s="1460"/>
      <c r="W99" s="1460"/>
      <c r="X99" s="1460"/>
      <c r="Y99" s="1460"/>
      <c r="Z99" s="1460"/>
      <c r="AA99" s="1460"/>
      <c r="AB99" s="1460"/>
      <c r="AC99" s="1460"/>
      <c r="AJ99" s="1427"/>
      <c r="AK99" s="1427"/>
      <c r="AL99" s="1427"/>
      <c r="AM99" s="1427"/>
      <c r="AN99" s="1427"/>
      <c r="AO99" s="1427"/>
      <c r="AP99" s="1427"/>
    </row>
    <row r="100" spans="1:51" s="233" customFormat="1" ht="15" customHeight="1" x14ac:dyDescent="0.25">
      <c r="F100" s="1461" t="s">
        <v>63</v>
      </c>
      <c r="G100" s="1461"/>
      <c r="H100" s="1461"/>
      <c r="I100" s="1461"/>
      <c r="J100" s="1461"/>
      <c r="K100" s="1461"/>
      <c r="L100" s="1461"/>
      <c r="M100" s="1461"/>
      <c r="N100" s="1461"/>
      <c r="O100" s="1461"/>
      <c r="P100" s="1461"/>
      <c r="Q100" s="1461"/>
      <c r="R100" s="1461"/>
      <c r="S100" s="1461"/>
      <c r="T100" s="1460" t="s">
        <v>58</v>
      </c>
      <c r="U100" s="1460"/>
      <c r="V100" s="1460"/>
      <c r="W100" s="1460"/>
      <c r="X100" s="1460"/>
      <c r="Y100" s="1460"/>
      <c r="Z100" s="1460"/>
      <c r="AA100" s="1460"/>
      <c r="AB100" s="1460"/>
      <c r="AC100" s="1460"/>
      <c r="AJ100" s="1427"/>
      <c r="AK100" s="1427"/>
      <c r="AL100" s="1427"/>
      <c r="AM100" s="1427"/>
      <c r="AN100" s="1427"/>
      <c r="AO100" s="1427"/>
      <c r="AP100" s="1427"/>
    </row>
    <row r="101" spans="1:51" s="233" customFormat="1" ht="15" customHeight="1" x14ac:dyDescent="0.25">
      <c r="F101" s="1461" t="s">
        <v>64</v>
      </c>
      <c r="G101" s="1461"/>
      <c r="H101" s="1461"/>
      <c r="I101" s="1461"/>
      <c r="J101" s="1461"/>
      <c r="K101" s="1461"/>
      <c r="L101" s="1461"/>
      <c r="M101" s="1461"/>
      <c r="N101" s="1461"/>
      <c r="O101" s="1461"/>
      <c r="P101" s="1461"/>
      <c r="Q101" s="1461"/>
      <c r="R101" s="1461"/>
      <c r="S101" s="1461"/>
      <c r="T101" s="1460" t="s">
        <v>65</v>
      </c>
      <c r="U101" s="1460"/>
      <c r="V101" s="1460"/>
      <c r="W101" s="1460"/>
      <c r="X101" s="1460"/>
      <c r="Y101" s="1460"/>
      <c r="Z101" s="1460"/>
      <c r="AA101" s="1460"/>
      <c r="AB101" s="1460"/>
      <c r="AC101" s="1460"/>
      <c r="AJ101" s="1427"/>
      <c r="AK101" s="1427"/>
      <c r="AL101" s="1427"/>
      <c r="AM101" s="1427"/>
      <c r="AN101" s="1427"/>
      <c r="AO101" s="1427"/>
      <c r="AP101" s="1427"/>
    </row>
    <row r="102" spans="1:51" s="233" customFormat="1" ht="15" customHeight="1" x14ac:dyDescent="0.25">
      <c r="F102" s="1461" t="s">
        <v>66</v>
      </c>
      <c r="G102" s="1461"/>
      <c r="H102" s="1461"/>
      <c r="I102" s="1461"/>
      <c r="J102" s="1461"/>
      <c r="K102" s="1461"/>
      <c r="L102" s="1461"/>
      <c r="M102" s="1461"/>
      <c r="N102" s="1461"/>
      <c r="O102" s="1461"/>
      <c r="P102" s="1461"/>
      <c r="Q102" s="1461"/>
      <c r="R102" s="1461"/>
      <c r="S102" s="1461"/>
      <c r="T102" s="1460" t="s">
        <v>65</v>
      </c>
      <c r="U102" s="1460"/>
      <c r="V102" s="1460"/>
      <c r="W102" s="1460"/>
      <c r="X102" s="1460"/>
      <c r="Y102" s="1460"/>
      <c r="Z102" s="1460"/>
      <c r="AA102" s="1460"/>
      <c r="AB102" s="1460"/>
      <c r="AC102" s="1460"/>
      <c r="AJ102" s="1427"/>
      <c r="AK102" s="1427"/>
      <c r="AL102" s="1427"/>
      <c r="AM102" s="1427"/>
      <c r="AN102" s="1427"/>
      <c r="AO102" s="1427"/>
      <c r="AP102" s="1427"/>
    </row>
    <row r="103" spans="1:51" s="233" customFormat="1" ht="15" customHeight="1" x14ac:dyDescent="0.25">
      <c r="F103" s="1461" t="s">
        <v>67</v>
      </c>
      <c r="G103" s="1461"/>
      <c r="H103" s="1461"/>
      <c r="I103" s="1461"/>
      <c r="J103" s="1461"/>
      <c r="K103" s="1461"/>
      <c r="L103" s="1461"/>
      <c r="M103" s="1461"/>
      <c r="N103" s="1461"/>
      <c r="O103" s="1461"/>
      <c r="P103" s="1461"/>
      <c r="Q103" s="1461"/>
      <c r="R103" s="1461"/>
      <c r="S103" s="1461"/>
      <c r="T103" s="1460" t="s">
        <v>58</v>
      </c>
      <c r="U103" s="1460"/>
      <c r="V103" s="1460"/>
      <c r="W103" s="1460"/>
      <c r="X103" s="1460"/>
      <c r="Y103" s="1460"/>
      <c r="Z103" s="1460"/>
      <c r="AA103" s="1460"/>
      <c r="AB103" s="1460"/>
      <c r="AC103" s="1460"/>
      <c r="AJ103" s="1427"/>
      <c r="AK103" s="1427"/>
      <c r="AL103" s="1427"/>
      <c r="AM103" s="1427"/>
      <c r="AN103" s="1427"/>
      <c r="AO103" s="1427"/>
      <c r="AP103" s="1427"/>
    </row>
    <row r="104" spans="1:51" s="233" customFormat="1" ht="15" customHeight="1" x14ac:dyDescent="0.25">
      <c r="F104" s="1461"/>
      <c r="G104" s="1461"/>
      <c r="H104" s="1461"/>
      <c r="I104" s="1461"/>
      <c r="J104" s="1461"/>
      <c r="K104" s="1461"/>
      <c r="L104" s="1461"/>
      <c r="M104" s="1461"/>
      <c r="N104" s="1461"/>
      <c r="O104" s="1461"/>
      <c r="P104" s="1461"/>
      <c r="Q104" s="1461"/>
      <c r="R104" s="1461"/>
      <c r="S104" s="1461"/>
      <c r="T104" s="1460" t="s">
        <v>59</v>
      </c>
      <c r="U104" s="1460"/>
      <c r="V104" s="1460"/>
      <c r="W104" s="1460"/>
      <c r="X104" s="1460"/>
      <c r="Y104" s="1460"/>
      <c r="Z104" s="1460"/>
      <c r="AA104" s="1460"/>
      <c r="AB104" s="1460"/>
      <c r="AC104" s="1460"/>
      <c r="AJ104" s="653"/>
    </row>
    <row r="105" spans="1:51" ht="19.5" customHeight="1" x14ac:dyDescent="0.25">
      <c r="AJ105" s="652"/>
    </row>
    <row r="106" spans="1:51" s="308" customFormat="1" ht="18" customHeight="1" x14ac:dyDescent="0.25">
      <c r="A106" s="1428" t="s">
        <v>68</v>
      </c>
      <c r="B106" s="1428"/>
      <c r="C106" s="1428"/>
      <c r="D106" s="1428"/>
      <c r="E106" s="1428"/>
      <c r="F106" s="1428"/>
      <c r="G106" s="1428"/>
      <c r="H106" s="1428"/>
      <c r="I106" s="1428"/>
      <c r="J106" s="1428"/>
      <c r="K106" s="1428"/>
      <c r="L106" s="1428"/>
      <c r="M106" s="1428"/>
      <c r="N106" s="1428"/>
      <c r="O106" s="1428"/>
      <c r="P106" s="1428"/>
      <c r="Q106" s="1428"/>
      <c r="R106" s="1428"/>
      <c r="S106" s="1428"/>
      <c r="T106" s="1428"/>
      <c r="U106" s="1428"/>
      <c r="V106" s="1428"/>
      <c r="W106" s="1428"/>
      <c r="X106" s="1428"/>
      <c r="Y106" s="1428"/>
      <c r="Z106" s="1428"/>
      <c r="AA106" s="1428"/>
      <c r="AB106" s="1428"/>
      <c r="AC106" s="1428"/>
      <c r="AD106" s="1428"/>
      <c r="AE106" s="1428"/>
      <c r="AF106" s="1428"/>
      <c r="AG106" s="1428"/>
      <c r="AH106" s="1428"/>
      <c r="AJ106" s="512"/>
    </row>
    <row r="107" spans="1:51" s="308" customFormat="1" ht="11.25" customHeight="1" x14ac:dyDescent="0.25">
      <c r="A107" s="326"/>
      <c r="B107" s="326"/>
      <c r="C107" s="326"/>
      <c r="D107" s="326"/>
      <c r="E107" s="326"/>
      <c r="F107" s="326"/>
      <c r="G107" s="326"/>
      <c r="H107" s="326"/>
      <c r="I107" s="326"/>
      <c r="J107" s="326"/>
      <c r="K107" s="326"/>
      <c r="L107" s="326"/>
      <c r="M107" s="326"/>
      <c r="N107" s="326"/>
      <c r="O107" s="326"/>
      <c r="P107" s="326"/>
      <c r="Q107" s="326"/>
      <c r="R107" s="326"/>
      <c r="S107" s="326"/>
      <c r="T107" s="326"/>
      <c r="U107" s="326"/>
      <c r="V107" s="326"/>
      <c r="W107" s="326"/>
      <c r="X107" s="326"/>
      <c r="Y107" s="326"/>
      <c r="Z107" s="326"/>
      <c r="AA107" s="326"/>
      <c r="AB107" s="326"/>
      <c r="AC107" s="326"/>
      <c r="AD107" s="326"/>
      <c r="AE107" s="326"/>
      <c r="AF107" s="326"/>
      <c r="AG107" s="326"/>
      <c r="AH107" s="326"/>
      <c r="AJ107" s="508"/>
      <c r="AK107" s="307"/>
      <c r="AL107" s="307"/>
      <c r="AM107" s="307"/>
      <c r="AN107" s="307"/>
      <c r="AO107" s="307"/>
      <c r="AP107" s="307"/>
      <c r="AQ107" s="307"/>
      <c r="AR107" s="307"/>
      <c r="AS107" s="307"/>
      <c r="AT107" s="307"/>
      <c r="AU107" s="307"/>
      <c r="AV107" s="307"/>
      <c r="AW107" s="307"/>
      <c r="AX107" s="307"/>
      <c r="AY107" s="307"/>
    </row>
    <row r="108" spans="1:51" s="308" customFormat="1" ht="14.25" customHeight="1" x14ac:dyDescent="0.25">
      <c r="A108" s="1454" t="s">
        <v>69</v>
      </c>
      <c r="B108" s="1454"/>
      <c r="C108" s="1454"/>
      <c r="D108" s="1454"/>
      <c r="E108" s="1454"/>
      <c r="F108" s="1454"/>
      <c r="G108" s="1454"/>
      <c r="H108" s="1454"/>
      <c r="I108" s="1454"/>
      <c r="J108" s="1454"/>
      <c r="K108" s="1454"/>
      <c r="L108" s="1454"/>
      <c r="M108" s="1454"/>
      <c r="N108" s="1454"/>
      <c r="O108" s="1454"/>
      <c r="P108" s="1454"/>
      <c r="Q108" s="1454"/>
      <c r="R108" s="1454"/>
      <c r="S108" s="1454"/>
      <c r="T108" s="1454"/>
      <c r="U108" s="1454"/>
      <c r="V108" s="1454"/>
      <c r="W108" s="1454"/>
      <c r="X108" s="1454"/>
      <c r="Y108" s="1454"/>
      <c r="Z108" s="1454"/>
      <c r="AA108" s="1454"/>
      <c r="AB108" s="1454"/>
      <c r="AC108" s="1454"/>
      <c r="AD108" s="1454"/>
      <c r="AE108" s="1454"/>
      <c r="AF108" s="1454"/>
      <c r="AG108" s="1454"/>
      <c r="AH108" s="1454"/>
      <c r="AJ108" s="512"/>
    </row>
    <row r="109" spans="1:51" s="308" customFormat="1" ht="11.25" customHeight="1" x14ac:dyDescent="0.25">
      <c r="A109" s="326"/>
      <c r="B109" s="326"/>
      <c r="C109" s="326"/>
      <c r="D109" s="326"/>
      <c r="E109" s="326"/>
      <c r="F109" s="326"/>
      <c r="G109" s="326"/>
      <c r="H109" s="326"/>
      <c r="I109" s="326"/>
      <c r="J109" s="326"/>
      <c r="K109" s="326"/>
      <c r="L109" s="326"/>
      <c r="M109" s="326"/>
      <c r="N109" s="326"/>
      <c r="O109" s="326"/>
      <c r="P109" s="326"/>
      <c r="Q109" s="326"/>
      <c r="R109" s="326"/>
      <c r="S109" s="326"/>
      <c r="T109" s="326"/>
      <c r="U109" s="326"/>
      <c r="V109" s="326"/>
      <c r="W109" s="326"/>
      <c r="X109" s="326"/>
      <c r="Y109" s="326"/>
      <c r="Z109" s="326"/>
      <c r="AA109" s="326"/>
      <c r="AB109" s="326"/>
      <c r="AC109" s="326"/>
      <c r="AD109" s="326"/>
      <c r="AE109" s="326"/>
      <c r="AF109" s="326"/>
      <c r="AG109" s="326"/>
      <c r="AH109" s="326"/>
      <c r="AJ109" s="508"/>
      <c r="AK109" s="307"/>
      <c r="AL109" s="307"/>
      <c r="AM109" s="307"/>
      <c r="AN109" s="307"/>
      <c r="AO109" s="307"/>
      <c r="AP109" s="307"/>
      <c r="AQ109" s="307"/>
      <c r="AR109" s="307"/>
      <c r="AS109" s="307"/>
      <c r="AT109" s="307"/>
      <c r="AU109" s="307"/>
      <c r="AV109" s="307"/>
      <c r="AW109" s="307"/>
      <c r="AX109" s="307"/>
      <c r="AY109" s="307"/>
    </row>
    <row r="110" spans="1:51" s="308" customFormat="1" ht="13.8" x14ac:dyDescent="0.25">
      <c r="A110" s="1454" t="s">
        <v>70</v>
      </c>
      <c r="B110" s="1454"/>
      <c r="C110" s="1454"/>
      <c r="D110" s="1454"/>
      <c r="E110" s="1454"/>
      <c r="F110" s="1454"/>
      <c r="G110" s="1454"/>
      <c r="H110" s="1454"/>
      <c r="I110" s="1454"/>
      <c r="J110" s="1454"/>
      <c r="K110" s="1454"/>
      <c r="L110" s="1454"/>
      <c r="M110" s="1454"/>
      <c r="N110" s="1454"/>
      <c r="O110" s="1454"/>
      <c r="P110" s="1454"/>
      <c r="Q110" s="1454"/>
      <c r="R110" s="1454"/>
      <c r="S110" s="1454"/>
      <c r="T110" s="1454"/>
      <c r="U110" s="1454"/>
      <c r="V110" s="1454"/>
      <c r="W110" s="1454"/>
      <c r="X110" s="1454"/>
      <c r="Y110" s="1454"/>
      <c r="Z110" s="1454"/>
      <c r="AA110" s="1454"/>
      <c r="AB110" s="1454"/>
      <c r="AC110" s="1454"/>
      <c r="AD110" s="1454"/>
      <c r="AE110" s="1454"/>
      <c r="AF110" s="1454"/>
      <c r="AG110" s="1454"/>
      <c r="AH110" s="1454"/>
      <c r="AJ110" s="512"/>
    </row>
    <row r="111" spans="1:51" s="308" customFormat="1" ht="13.8" x14ac:dyDescent="0.25">
      <c r="A111" s="1454" t="s">
        <v>71</v>
      </c>
      <c r="B111" s="1454"/>
      <c r="C111" s="1454"/>
      <c r="D111" s="1454"/>
      <c r="E111" s="1454"/>
      <c r="F111" s="1454"/>
      <c r="G111" s="1454"/>
      <c r="H111" s="1454"/>
      <c r="I111" s="1454"/>
      <c r="J111" s="1454"/>
      <c r="K111" s="1454"/>
      <c r="L111" s="1454"/>
      <c r="M111" s="1454"/>
      <c r="N111" s="1454"/>
      <c r="O111" s="1454"/>
      <c r="P111" s="1454"/>
      <c r="Q111" s="1454"/>
      <c r="R111" s="1454"/>
      <c r="S111" s="1454"/>
      <c r="T111" s="1454"/>
      <c r="U111" s="1454"/>
      <c r="V111" s="1454"/>
      <c r="W111" s="1454"/>
      <c r="X111" s="1454"/>
      <c r="Y111" s="1454"/>
      <c r="Z111" s="1454"/>
      <c r="AA111" s="1454"/>
      <c r="AB111" s="1454"/>
      <c r="AC111" s="1454"/>
      <c r="AD111" s="1454"/>
      <c r="AE111" s="1454"/>
      <c r="AF111" s="1454"/>
      <c r="AG111" s="1454"/>
      <c r="AH111" s="1454"/>
      <c r="AJ111" s="512"/>
    </row>
    <row r="112" spans="1:51" s="308" customFormat="1" ht="13.8" x14ac:dyDescent="0.25">
      <c r="A112" s="1454" t="s">
        <v>72</v>
      </c>
      <c r="B112" s="1454"/>
      <c r="C112" s="1454"/>
      <c r="D112" s="1454"/>
      <c r="E112" s="1454"/>
      <c r="F112" s="1454"/>
      <c r="G112" s="1454"/>
      <c r="H112" s="1454"/>
      <c r="I112" s="1454"/>
      <c r="J112" s="1454"/>
      <c r="K112" s="1454"/>
      <c r="L112" s="1454"/>
      <c r="M112" s="1454"/>
      <c r="N112" s="1454"/>
      <c r="O112" s="1454"/>
      <c r="P112" s="1454"/>
      <c r="Q112" s="1454"/>
      <c r="R112" s="1454"/>
      <c r="S112" s="1454"/>
      <c r="T112" s="1454"/>
      <c r="U112" s="1454"/>
      <c r="V112" s="1454"/>
      <c r="W112" s="1454"/>
      <c r="X112" s="1454"/>
      <c r="Y112" s="1454"/>
      <c r="Z112" s="1454"/>
      <c r="AA112" s="1454"/>
      <c r="AB112" s="1454"/>
      <c r="AC112" s="1454"/>
      <c r="AD112" s="1454"/>
      <c r="AE112" s="1454"/>
      <c r="AF112" s="1454"/>
      <c r="AG112" s="1454"/>
      <c r="AH112" s="1454"/>
      <c r="AJ112" s="512"/>
    </row>
    <row r="113" spans="1:51" s="308" customFormat="1" ht="13.8" x14ac:dyDescent="0.25">
      <c r="A113" s="1454" t="s">
        <v>73</v>
      </c>
      <c r="B113" s="1454"/>
      <c r="C113" s="1454"/>
      <c r="D113" s="1454"/>
      <c r="E113" s="1454"/>
      <c r="F113" s="1454"/>
      <c r="G113" s="1454"/>
      <c r="H113" s="1454"/>
      <c r="I113" s="1454"/>
      <c r="J113" s="1454"/>
      <c r="K113" s="1454"/>
      <c r="L113" s="1454"/>
      <c r="M113" s="1454"/>
      <c r="N113" s="1454"/>
      <c r="O113" s="1454"/>
      <c r="P113" s="1454"/>
      <c r="Q113" s="1454"/>
      <c r="R113" s="1454"/>
      <c r="S113" s="1454"/>
      <c r="T113" s="1454"/>
      <c r="U113" s="1454"/>
      <c r="V113" s="1454"/>
      <c r="W113" s="1454"/>
      <c r="X113" s="1454"/>
      <c r="Y113" s="1454"/>
      <c r="Z113" s="1454"/>
      <c r="AA113" s="1454"/>
      <c r="AB113" s="1454"/>
      <c r="AC113" s="1454"/>
      <c r="AD113" s="1454"/>
      <c r="AE113" s="1454"/>
      <c r="AF113" s="1454"/>
      <c r="AG113" s="1454"/>
      <c r="AH113" s="1454"/>
      <c r="AJ113" s="512"/>
    </row>
    <row r="114" spans="1:51" s="308" customFormat="1" ht="13.8" x14ac:dyDescent="0.25">
      <c r="A114" s="1454" t="s">
        <v>74</v>
      </c>
      <c r="B114" s="1454"/>
      <c r="C114" s="1454"/>
      <c r="D114" s="1454"/>
      <c r="E114" s="1454"/>
      <c r="F114" s="1454"/>
      <c r="G114" s="1454"/>
      <c r="H114" s="1454"/>
      <c r="I114" s="1454"/>
      <c r="J114" s="1454"/>
      <c r="K114" s="1454"/>
      <c r="L114" s="1454"/>
      <c r="M114" s="1454"/>
      <c r="N114" s="1454"/>
      <c r="O114" s="1454"/>
      <c r="P114" s="1454"/>
      <c r="Q114" s="1454"/>
      <c r="R114" s="1454"/>
      <c r="S114" s="1454"/>
      <c r="T114" s="1454"/>
      <c r="U114" s="1454"/>
      <c r="V114" s="1454"/>
      <c r="W114" s="1454"/>
      <c r="X114" s="1454"/>
      <c r="Y114" s="1454"/>
      <c r="Z114" s="1454"/>
      <c r="AA114" s="1454"/>
      <c r="AB114" s="1454"/>
      <c r="AC114" s="1454"/>
      <c r="AD114" s="1454"/>
      <c r="AE114" s="1454"/>
      <c r="AF114" s="1454"/>
      <c r="AG114" s="1454"/>
      <c r="AH114" s="1454"/>
      <c r="AJ114" s="512"/>
    </row>
    <row r="115" spans="1:51" s="308" customFormat="1" ht="13.8" x14ac:dyDescent="0.25">
      <c r="A115" s="1454" t="s">
        <v>75</v>
      </c>
      <c r="B115" s="1454"/>
      <c r="C115" s="1454"/>
      <c r="D115" s="1454"/>
      <c r="E115" s="1454"/>
      <c r="F115" s="1454"/>
      <c r="G115" s="1454"/>
      <c r="H115" s="1454"/>
      <c r="I115" s="1454"/>
      <c r="J115" s="1454"/>
      <c r="K115" s="1454"/>
      <c r="L115" s="1454"/>
      <c r="M115" s="1454"/>
      <c r="N115" s="1454"/>
      <c r="O115" s="1454"/>
      <c r="P115" s="1454"/>
      <c r="Q115" s="1454"/>
      <c r="R115" s="1454"/>
      <c r="S115" s="1454"/>
      <c r="T115" s="1454"/>
      <c r="U115" s="1454"/>
      <c r="V115" s="1454"/>
      <c r="W115" s="1454"/>
      <c r="X115" s="1454"/>
      <c r="Y115" s="1454"/>
      <c r="Z115" s="1454"/>
      <c r="AA115" s="1454"/>
      <c r="AB115" s="1454"/>
      <c r="AC115" s="1454"/>
      <c r="AD115" s="1454"/>
      <c r="AE115" s="1454"/>
      <c r="AF115" s="1454"/>
      <c r="AG115" s="1454"/>
      <c r="AH115" s="1454"/>
      <c r="AJ115" s="512"/>
    </row>
    <row r="116" spans="1:51" s="308" customFormat="1" ht="11.25" customHeight="1" x14ac:dyDescent="0.25">
      <c r="A116" s="326"/>
      <c r="B116" s="326"/>
      <c r="C116" s="326"/>
      <c r="D116" s="326"/>
      <c r="E116" s="326"/>
      <c r="F116" s="326"/>
      <c r="G116" s="326"/>
      <c r="H116" s="326"/>
      <c r="I116" s="326"/>
      <c r="J116" s="326"/>
      <c r="K116" s="326"/>
      <c r="L116" s="326"/>
      <c r="M116" s="326"/>
      <c r="N116" s="326"/>
      <c r="O116" s="326"/>
      <c r="P116" s="326"/>
      <c r="Q116" s="326"/>
      <c r="R116" s="326"/>
      <c r="S116" s="326"/>
      <c r="T116" s="326"/>
      <c r="U116" s="326"/>
      <c r="V116" s="326"/>
      <c r="W116" s="326"/>
      <c r="X116" s="326"/>
      <c r="Y116" s="326"/>
      <c r="Z116" s="326"/>
      <c r="AA116" s="326"/>
      <c r="AB116" s="326"/>
      <c r="AC116" s="326"/>
      <c r="AD116" s="326"/>
      <c r="AE116" s="326"/>
      <c r="AF116" s="326"/>
      <c r="AG116" s="326"/>
      <c r="AH116" s="326"/>
      <c r="AJ116" s="508"/>
      <c r="AK116" s="307"/>
      <c r="AL116" s="307"/>
      <c r="AM116" s="307"/>
      <c r="AN116" s="307"/>
      <c r="AO116" s="307"/>
      <c r="AP116" s="307"/>
      <c r="AQ116" s="307"/>
      <c r="AR116" s="307"/>
      <c r="AS116" s="307"/>
      <c r="AT116" s="307"/>
      <c r="AU116" s="307"/>
      <c r="AV116" s="307"/>
      <c r="AW116" s="307"/>
      <c r="AX116" s="307"/>
      <c r="AY116" s="307"/>
    </row>
    <row r="117" spans="1:51" s="308" customFormat="1" ht="42" customHeight="1" x14ac:dyDescent="0.25">
      <c r="A117" s="1454" t="s">
        <v>76</v>
      </c>
      <c r="B117" s="1454"/>
      <c r="C117" s="1454"/>
      <c r="D117" s="1454"/>
      <c r="E117" s="1454"/>
      <c r="F117" s="1454"/>
      <c r="G117" s="1454"/>
      <c r="H117" s="1454"/>
      <c r="I117" s="1454"/>
      <c r="J117" s="1454"/>
      <c r="K117" s="1454"/>
      <c r="L117" s="1454"/>
      <c r="M117" s="1454"/>
      <c r="N117" s="1454"/>
      <c r="O117" s="1454"/>
      <c r="P117" s="1454"/>
      <c r="Q117" s="1454"/>
      <c r="R117" s="1454"/>
      <c r="S117" s="1454"/>
      <c r="T117" s="1454"/>
      <c r="U117" s="1454"/>
      <c r="V117" s="1454"/>
      <c r="W117" s="1454"/>
      <c r="X117" s="1454"/>
      <c r="Y117" s="1454"/>
      <c r="Z117" s="1454"/>
      <c r="AA117" s="1454"/>
      <c r="AB117" s="1454"/>
      <c r="AC117" s="1454"/>
      <c r="AD117" s="1454"/>
      <c r="AE117" s="1454"/>
      <c r="AF117" s="1454"/>
      <c r="AG117" s="1454"/>
      <c r="AH117" s="1454"/>
      <c r="AJ117" s="512"/>
    </row>
    <row r="118" spans="1:51" s="308" customFormat="1" ht="11.25" customHeight="1" x14ac:dyDescent="0.25">
      <c r="A118" s="326"/>
      <c r="B118" s="326"/>
      <c r="C118" s="326"/>
      <c r="D118" s="326"/>
      <c r="E118" s="326"/>
      <c r="F118" s="326"/>
      <c r="G118" s="326"/>
      <c r="H118" s="326"/>
      <c r="I118" s="326"/>
      <c r="J118" s="326"/>
      <c r="K118" s="326"/>
      <c r="L118" s="326"/>
      <c r="M118" s="326"/>
      <c r="N118" s="326"/>
      <c r="O118" s="326"/>
      <c r="P118" s="326"/>
      <c r="Q118" s="326"/>
      <c r="R118" s="326"/>
      <c r="S118" s="326"/>
      <c r="T118" s="326"/>
      <c r="U118" s="326"/>
      <c r="V118" s="326"/>
      <c r="W118" s="326"/>
      <c r="X118" s="326"/>
      <c r="Y118" s="326"/>
      <c r="Z118" s="326"/>
      <c r="AA118" s="326"/>
      <c r="AB118" s="326"/>
      <c r="AC118" s="326"/>
      <c r="AD118" s="326"/>
      <c r="AE118" s="326"/>
      <c r="AF118" s="326"/>
      <c r="AG118" s="326"/>
      <c r="AH118" s="326"/>
      <c r="AJ118" s="508"/>
      <c r="AK118" s="307"/>
      <c r="AL118" s="307"/>
      <c r="AM118" s="307"/>
      <c r="AN118" s="307"/>
      <c r="AO118" s="307"/>
      <c r="AP118" s="307"/>
      <c r="AQ118" s="307"/>
      <c r="AR118" s="307"/>
      <c r="AS118" s="307"/>
      <c r="AT118" s="307"/>
      <c r="AU118" s="307"/>
      <c r="AV118" s="307"/>
      <c r="AW118" s="307"/>
      <c r="AX118" s="307"/>
      <c r="AY118" s="307"/>
    </row>
    <row r="119" spans="1:51" s="305" customFormat="1" ht="15" customHeight="1" x14ac:dyDescent="0.25">
      <c r="A119" s="1455" t="s">
        <v>77</v>
      </c>
      <c r="B119" s="1455"/>
      <c r="C119" s="1455"/>
      <c r="D119" s="1455"/>
      <c r="E119" s="1455"/>
      <c r="F119" s="1455"/>
      <c r="G119" s="1455"/>
      <c r="H119" s="1455"/>
      <c r="I119" s="1455"/>
      <c r="J119" s="1455"/>
      <c r="K119" s="1455"/>
      <c r="L119" s="1455"/>
      <c r="M119" s="1455"/>
      <c r="N119" s="1455"/>
      <c r="O119" s="1455"/>
      <c r="P119" s="1455"/>
      <c r="Q119" s="1455"/>
      <c r="R119" s="1455"/>
      <c r="S119" s="1455"/>
      <c r="T119" s="1455"/>
      <c r="U119" s="1455"/>
      <c r="V119" s="1455"/>
      <c r="W119" s="1455"/>
      <c r="X119" s="1455"/>
      <c r="Y119" s="1455"/>
      <c r="Z119" s="1455"/>
      <c r="AA119" s="1455"/>
      <c r="AB119" s="1455"/>
      <c r="AC119" s="1455"/>
      <c r="AD119" s="1455"/>
      <c r="AE119" s="1455"/>
      <c r="AF119" s="1455"/>
      <c r="AG119" s="1455"/>
      <c r="AH119" s="1455"/>
      <c r="AJ119" s="651"/>
    </row>
    <row r="120" spans="1:51" s="308" customFormat="1" ht="11.25" customHeight="1" x14ac:dyDescent="0.25">
      <c r="A120" s="326"/>
      <c r="B120" s="326"/>
      <c r="C120" s="326"/>
      <c r="D120" s="326"/>
      <c r="E120" s="326"/>
      <c r="F120" s="326"/>
      <c r="G120" s="326"/>
      <c r="H120" s="326"/>
      <c r="I120" s="326"/>
      <c r="J120" s="326"/>
      <c r="K120" s="326"/>
      <c r="L120" s="326"/>
      <c r="M120" s="326"/>
      <c r="N120" s="326"/>
      <c r="O120" s="326"/>
      <c r="P120" s="326"/>
      <c r="Q120" s="326"/>
      <c r="R120" s="326"/>
      <c r="S120" s="326"/>
      <c r="T120" s="326"/>
      <c r="U120" s="326"/>
      <c r="V120" s="326"/>
      <c r="W120" s="326"/>
      <c r="X120" s="326"/>
      <c r="Y120" s="326"/>
      <c r="Z120" s="326"/>
      <c r="AA120" s="326"/>
      <c r="AB120" s="326"/>
      <c r="AC120" s="326"/>
      <c r="AD120" s="326"/>
      <c r="AE120" s="326"/>
      <c r="AF120" s="326"/>
      <c r="AG120" s="326"/>
      <c r="AH120" s="326"/>
      <c r="AJ120" s="508"/>
      <c r="AK120" s="307"/>
      <c r="AL120" s="307"/>
      <c r="AM120" s="307"/>
      <c r="AN120" s="307"/>
      <c r="AO120" s="307"/>
      <c r="AP120" s="307"/>
      <c r="AQ120" s="307"/>
      <c r="AR120" s="307"/>
      <c r="AS120" s="307"/>
      <c r="AT120" s="307"/>
      <c r="AU120" s="307"/>
      <c r="AV120" s="307"/>
      <c r="AW120" s="307"/>
      <c r="AX120" s="307"/>
      <c r="AY120" s="307"/>
    </row>
    <row r="121" spans="1:51" s="308" customFormat="1" ht="14.25" customHeight="1" x14ac:dyDescent="0.25">
      <c r="A121" s="1454" t="s">
        <v>78</v>
      </c>
      <c r="B121" s="1454"/>
      <c r="C121" s="1454"/>
      <c r="D121" s="1454"/>
      <c r="E121" s="1454"/>
      <c r="F121" s="1454"/>
      <c r="G121" s="1454"/>
      <c r="H121" s="1454"/>
      <c r="I121" s="1454"/>
      <c r="J121" s="1454"/>
      <c r="K121" s="1454"/>
      <c r="L121" s="1454"/>
      <c r="M121" s="1454"/>
      <c r="N121" s="1454"/>
      <c r="O121" s="1454"/>
      <c r="P121" s="1454"/>
      <c r="Q121" s="1454"/>
      <c r="R121" s="1454"/>
      <c r="S121" s="1454"/>
      <c r="T121" s="1454"/>
      <c r="U121" s="1454"/>
      <c r="V121" s="1454"/>
      <c r="W121" s="1454"/>
      <c r="X121" s="1454"/>
      <c r="Y121" s="1454"/>
      <c r="Z121" s="1454"/>
      <c r="AA121" s="1454"/>
      <c r="AB121" s="1454"/>
      <c r="AC121" s="1454"/>
      <c r="AD121" s="1454"/>
      <c r="AE121" s="1454"/>
      <c r="AF121" s="1454"/>
      <c r="AG121" s="1454"/>
      <c r="AH121" s="1454"/>
      <c r="AJ121" s="512"/>
    </row>
    <row r="122" spans="1:51" s="308" customFormat="1" ht="11.25" customHeight="1" x14ac:dyDescent="0.25">
      <c r="A122" s="326"/>
      <c r="B122" s="326"/>
      <c r="C122" s="326"/>
      <c r="D122" s="326"/>
      <c r="E122" s="326"/>
      <c r="F122" s="326"/>
      <c r="G122" s="326"/>
      <c r="H122" s="326"/>
      <c r="I122" s="326"/>
      <c r="J122" s="326"/>
      <c r="K122" s="326"/>
      <c r="L122" s="326"/>
      <c r="M122" s="326"/>
      <c r="N122" s="326"/>
      <c r="O122" s="326"/>
      <c r="P122" s="326"/>
      <c r="Q122" s="326"/>
      <c r="R122" s="326"/>
      <c r="S122" s="326"/>
      <c r="T122" s="326"/>
      <c r="U122" s="326"/>
      <c r="V122" s="326"/>
      <c r="W122" s="326"/>
      <c r="X122" s="326"/>
      <c r="Y122" s="326"/>
      <c r="Z122" s="326"/>
      <c r="AA122" s="326"/>
      <c r="AB122" s="326"/>
      <c r="AC122" s="326"/>
      <c r="AD122" s="326"/>
      <c r="AE122" s="326"/>
      <c r="AF122" s="326"/>
      <c r="AG122" s="326"/>
      <c r="AH122" s="326"/>
      <c r="AJ122" s="508"/>
      <c r="AK122" s="307"/>
      <c r="AL122" s="307"/>
      <c r="AM122" s="307"/>
      <c r="AN122" s="307"/>
      <c r="AO122" s="307"/>
      <c r="AP122" s="307"/>
      <c r="AQ122" s="307"/>
      <c r="AR122" s="307"/>
      <c r="AS122" s="307"/>
      <c r="AT122" s="307"/>
      <c r="AU122" s="307"/>
      <c r="AV122" s="307"/>
      <c r="AW122" s="307"/>
      <c r="AX122" s="307"/>
      <c r="AY122" s="307"/>
    </row>
    <row r="123" spans="1:51" s="308" customFormat="1" ht="16.350000000000001" customHeight="1" x14ac:dyDescent="0.25">
      <c r="A123" s="1454" t="s">
        <v>79</v>
      </c>
      <c r="B123" s="1454"/>
      <c r="C123" s="1454"/>
      <c r="D123" s="1454"/>
      <c r="E123" s="1454"/>
      <c r="F123" s="1454"/>
      <c r="G123" s="1454"/>
      <c r="H123" s="1454"/>
      <c r="I123" s="1454"/>
      <c r="J123" s="1454"/>
      <c r="K123" s="1454"/>
      <c r="L123" s="1454"/>
      <c r="M123" s="1454"/>
      <c r="N123" s="1454"/>
      <c r="O123" s="1454"/>
      <c r="P123" s="1454"/>
      <c r="Q123" s="1454"/>
      <c r="R123" s="1454"/>
      <c r="S123" s="1454"/>
      <c r="T123" s="1454"/>
      <c r="U123" s="1454"/>
      <c r="V123" s="1454"/>
      <c r="W123" s="1454"/>
      <c r="X123" s="1454"/>
      <c r="Y123" s="1454"/>
      <c r="Z123" s="1454"/>
      <c r="AA123" s="1454"/>
      <c r="AB123" s="1454"/>
      <c r="AC123" s="1454"/>
      <c r="AD123" s="1454"/>
      <c r="AE123" s="1454"/>
      <c r="AF123" s="1454"/>
      <c r="AG123" s="1454"/>
      <c r="AH123" s="1454"/>
      <c r="AJ123" s="512"/>
    </row>
    <row r="124" spans="1:51" s="308" customFormat="1" ht="16.350000000000001" customHeight="1" x14ac:dyDescent="0.25">
      <c r="A124" s="1454" t="s">
        <v>80</v>
      </c>
      <c r="B124" s="1454"/>
      <c r="C124" s="1454"/>
      <c r="D124" s="1454"/>
      <c r="E124" s="1454"/>
      <c r="F124" s="1454"/>
      <c r="G124" s="1454"/>
      <c r="H124" s="1454"/>
      <c r="I124" s="1454"/>
      <c r="J124" s="1454"/>
      <c r="K124" s="1454"/>
      <c r="L124" s="1454"/>
      <c r="M124" s="1454"/>
      <c r="N124" s="1454"/>
      <c r="O124" s="1454"/>
      <c r="P124" s="1454"/>
      <c r="Q124" s="1454"/>
      <c r="R124" s="1454"/>
      <c r="S124" s="1454"/>
      <c r="T124" s="1454"/>
      <c r="U124" s="1454"/>
      <c r="V124" s="1454"/>
      <c r="W124" s="1454"/>
      <c r="X124" s="1454"/>
      <c r="Y124" s="1454"/>
      <c r="Z124" s="1454"/>
      <c r="AA124" s="1454"/>
      <c r="AB124" s="1454"/>
      <c r="AC124" s="1454"/>
      <c r="AD124" s="1454"/>
      <c r="AE124" s="1454"/>
      <c r="AF124" s="1454"/>
      <c r="AG124" s="1454"/>
      <c r="AH124" s="1454"/>
      <c r="AJ124" s="512"/>
    </row>
    <row r="125" spans="1:51" s="308" customFormat="1" ht="27.75" customHeight="1" x14ac:dyDescent="0.25">
      <c r="A125" s="1454" t="s">
        <v>81</v>
      </c>
      <c r="B125" s="1454"/>
      <c r="C125" s="1454"/>
      <c r="D125" s="1454"/>
      <c r="E125" s="1454"/>
      <c r="F125" s="1454"/>
      <c r="G125" s="1454"/>
      <c r="H125" s="1454"/>
      <c r="I125" s="1454"/>
      <c r="J125" s="1454"/>
      <c r="K125" s="1454"/>
      <c r="L125" s="1454"/>
      <c r="M125" s="1454"/>
      <c r="N125" s="1454"/>
      <c r="O125" s="1454"/>
      <c r="P125" s="1454"/>
      <c r="Q125" s="1454"/>
      <c r="R125" s="1454"/>
      <c r="S125" s="1454"/>
      <c r="T125" s="1454"/>
      <c r="U125" s="1454"/>
      <c r="V125" s="1454"/>
      <c r="W125" s="1454"/>
      <c r="X125" s="1454"/>
      <c r="Y125" s="1454"/>
      <c r="Z125" s="1454"/>
      <c r="AA125" s="1454"/>
      <c r="AB125" s="1454"/>
      <c r="AC125" s="1454"/>
      <c r="AD125" s="1454"/>
      <c r="AE125" s="1454"/>
      <c r="AF125" s="1454"/>
      <c r="AG125" s="1454"/>
      <c r="AH125" s="1454"/>
      <c r="AJ125" s="512"/>
    </row>
    <row r="126" spans="1:51" s="308" customFormat="1" ht="16.350000000000001" customHeight="1" x14ac:dyDescent="0.25">
      <c r="A126" s="1454" t="s">
        <v>82</v>
      </c>
      <c r="B126" s="1454"/>
      <c r="C126" s="1454"/>
      <c r="D126" s="1454"/>
      <c r="E126" s="1454"/>
      <c r="F126" s="1454"/>
      <c r="G126" s="1454"/>
      <c r="H126" s="1454"/>
      <c r="I126" s="1454"/>
      <c r="J126" s="1454"/>
      <c r="K126" s="1454"/>
      <c r="L126" s="1454"/>
      <c r="M126" s="1454"/>
      <c r="N126" s="1454"/>
      <c r="O126" s="1454"/>
      <c r="P126" s="1454"/>
      <c r="Q126" s="1454"/>
      <c r="R126" s="1454"/>
      <c r="S126" s="1454"/>
      <c r="T126" s="1454"/>
      <c r="U126" s="1454"/>
      <c r="V126" s="1454"/>
      <c r="W126" s="1454"/>
      <c r="X126" s="1454"/>
      <c r="Y126" s="1454"/>
      <c r="Z126" s="1454"/>
      <c r="AA126" s="1454"/>
      <c r="AB126" s="1454"/>
      <c r="AC126" s="1454"/>
      <c r="AD126" s="1454"/>
      <c r="AE126" s="1454"/>
      <c r="AF126" s="1454"/>
      <c r="AG126" s="1454"/>
      <c r="AH126" s="1454"/>
      <c r="AJ126" s="512"/>
    </row>
    <row r="127" spans="1:51" s="308" customFormat="1" ht="11.25" customHeight="1" x14ac:dyDescent="0.25">
      <c r="A127" s="326"/>
      <c r="B127" s="326"/>
      <c r="C127" s="326"/>
      <c r="D127" s="326"/>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J127" s="508"/>
      <c r="AK127" s="307"/>
      <c r="AL127" s="307"/>
      <c r="AM127" s="307"/>
      <c r="AN127" s="307"/>
      <c r="AO127" s="307"/>
      <c r="AP127" s="307"/>
      <c r="AQ127" s="307"/>
      <c r="AR127" s="307"/>
      <c r="AS127" s="307"/>
      <c r="AT127" s="307"/>
      <c r="AU127" s="307"/>
      <c r="AV127" s="307"/>
      <c r="AW127" s="307"/>
      <c r="AX127" s="307"/>
      <c r="AY127" s="307"/>
    </row>
    <row r="128" spans="1:51" s="305" customFormat="1" ht="15" customHeight="1" x14ac:dyDescent="0.25">
      <c r="A128" s="1455" t="s">
        <v>83</v>
      </c>
      <c r="B128" s="1455"/>
      <c r="C128" s="1455"/>
      <c r="D128" s="1455"/>
      <c r="E128" s="1455"/>
      <c r="F128" s="1455"/>
      <c r="G128" s="1455"/>
      <c r="H128" s="1455"/>
      <c r="I128" s="1455"/>
      <c r="J128" s="1455"/>
      <c r="K128" s="1455"/>
      <c r="L128" s="1455"/>
      <c r="M128" s="1455"/>
      <c r="N128" s="1455"/>
      <c r="O128" s="1455"/>
      <c r="P128" s="1455"/>
      <c r="Q128" s="1455"/>
      <c r="R128" s="1455"/>
      <c r="S128" s="1455"/>
      <c r="T128" s="1455"/>
      <c r="U128" s="1455"/>
      <c r="V128" s="1455"/>
      <c r="W128" s="1455"/>
      <c r="X128" s="1455"/>
      <c r="Y128" s="1455"/>
      <c r="Z128" s="1455"/>
      <c r="AA128" s="1455"/>
      <c r="AB128" s="1455"/>
      <c r="AC128" s="1455"/>
      <c r="AD128" s="1455"/>
      <c r="AE128" s="1455"/>
      <c r="AF128" s="1455"/>
      <c r="AG128" s="1455"/>
      <c r="AH128" s="1455"/>
      <c r="AJ128" s="651"/>
    </row>
    <row r="129" spans="1:51" s="308" customFormat="1" ht="11.25" customHeight="1" x14ac:dyDescent="0.25">
      <c r="A129" s="326"/>
      <c r="B129" s="326"/>
      <c r="C129" s="326"/>
      <c r="D129" s="326"/>
      <c r="E129" s="326"/>
      <c r="F129" s="326"/>
      <c r="G129" s="326"/>
      <c r="H129" s="326"/>
      <c r="I129" s="326"/>
      <c r="J129" s="326"/>
      <c r="K129" s="326"/>
      <c r="L129" s="326"/>
      <c r="M129" s="326"/>
      <c r="N129" s="326"/>
      <c r="O129" s="326"/>
      <c r="P129" s="326"/>
      <c r="Q129" s="326"/>
      <c r="R129" s="326"/>
      <c r="S129" s="326"/>
      <c r="T129" s="326"/>
      <c r="U129" s="326"/>
      <c r="V129" s="326"/>
      <c r="W129" s="326"/>
      <c r="X129" s="326"/>
      <c r="Y129" s="326"/>
      <c r="Z129" s="326"/>
      <c r="AA129" s="326"/>
      <c r="AB129" s="326"/>
      <c r="AC129" s="326"/>
      <c r="AD129" s="326"/>
      <c r="AE129" s="326"/>
      <c r="AF129" s="326"/>
      <c r="AG129" s="326"/>
      <c r="AH129" s="326"/>
      <c r="AJ129" s="508"/>
      <c r="AK129" s="307"/>
      <c r="AL129" s="307"/>
      <c r="AM129" s="307"/>
      <c r="AN129" s="307"/>
      <c r="AO129" s="307"/>
      <c r="AP129" s="307"/>
      <c r="AQ129" s="307"/>
      <c r="AR129" s="307"/>
      <c r="AS129" s="307"/>
      <c r="AT129" s="307"/>
      <c r="AU129" s="307"/>
      <c r="AV129" s="307"/>
      <c r="AW129" s="307"/>
      <c r="AX129" s="307"/>
      <c r="AY129" s="307"/>
    </row>
    <row r="130" spans="1:51" s="308" customFormat="1" ht="42" customHeight="1" x14ac:dyDescent="0.25">
      <c r="A130" s="1454" t="s">
        <v>84</v>
      </c>
      <c r="B130" s="1454"/>
      <c r="C130" s="1454"/>
      <c r="D130" s="1454"/>
      <c r="E130" s="1454"/>
      <c r="F130" s="1454"/>
      <c r="G130" s="1454"/>
      <c r="H130" s="1454"/>
      <c r="I130" s="1454"/>
      <c r="J130" s="1454"/>
      <c r="K130" s="1454"/>
      <c r="L130" s="1454"/>
      <c r="M130" s="1454"/>
      <c r="N130" s="1454"/>
      <c r="O130" s="1454"/>
      <c r="P130" s="1454"/>
      <c r="Q130" s="1454"/>
      <c r="R130" s="1454"/>
      <c r="S130" s="1454"/>
      <c r="T130" s="1454"/>
      <c r="U130" s="1454"/>
      <c r="V130" s="1454"/>
      <c r="W130" s="1454"/>
      <c r="X130" s="1454"/>
      <c r="Y130" s="1454"/>
      <c r="Z130" s="1454"/>
      <c r="AA130" s="1454"/>
      <c r="AB130" s="1454"/>
      <c r="AC130" s="1454"/>
      <c r="AD130" s="1454"/>
      <c r="AE130" s="1454"/>
      <c r="AF130" s="1454"/>
      <c r="AG130" s="1454"/>
      <c r="AH130" s="1454"/>
      <c r="AJ130" s="512"/>
    </row>
    <row r="131" spans="1:51" s="308" customFormat="1" ht="11.25" customHeight="1" x14ac:dyDescent="0.25">
      <c r="A131" s="326"/>
      <c r="B131" s="326"/>
      <c r="C131" s="326"/>
      <c r="D131" s="326"/>
      <c r="E131" s="326"/>
      <c r="F131" s="326"/>
      <c r="G131" s="326"/>
      <c r="H131" s="326"/>
      <c r="I131" s="326"/>
      <c r="J131" s="326"/>
      <c r="K131" s="326"/>
      <c r="L131" s="326"/>
      <c r="M131" s="326"/>
      <c r="N131" s="326"/>
      <c r="O131" s="326"/>
      <c r="P131" s="326"/>
      <c r="Q131" s="326"/>
      <c r="R131" s="326"/>
      <c r="S131" s="326"/>
      <c r="T131" s="326"/>
      <c r="U131" s="326"/>
      <c r="V131" s="326"/>
      <c r="W131" s="326"/>
      <c r="X131" s="326"/>
      <c r="Y131" s="326"/>
      <c r="Z131" s="326"/>
      <c r="AA131" s="326"/>
      <c r="AB131" s="326"/>
      <c r="AC131" s="326"/>
      <c r="AD131" s="326"/>
      <c r="AE131" s="326"/>
      <c r="AF131" s="326"/>
      <c r="AG131" s="326"/>
      <c r="AH131" s="326"/>
      <c r="AJ131" s="508"/>
      <c r="AK131" s="307"/>
      <c r="AL131" s="307"/>
      <c r="AM131" s="307"/>
      <c r="AN131" s="307"/>
      <c r="AO131" s="307"/>
      <c r="AP131" s="307"/>
      <c r="AQ131" s="307"/>
      <c r="AR131" s="307"/>
      <c r="AS131" s="307"/>
      <c r="AT131" s="307"/>
      <c r="AU131" s="307"/>
      <c r="AV131" s="307"/>
      <c r="AW131" s="307"/>
      <c r="AX131" s="307"/>
      <c r="AY131" s="307"/>
    </row>
    <row r="132" spans="1:51" s="308" customFormat="1" ht="16.350000000000001" customHeight="1" x14ac:dyDescent="0.25">
      <c r="A132" s="1454" t="s">
        <v>85</v>
      </c>
      <c r="B132" s="1454"/>
      <c r="C132" s="1454"/>
      <c r="D132" s="1454"/>
      <c r="E132" s="1454"/>
      <c r="F132" s="1454"/>
      <c r="G132" s="1454"/>
      <c r="H132" s="1454"/>
      <c r="I132" s="1454"/>
      <c r="J132" s="1454"/>
      <c r="K132" s="1454"/>
      <c r="L132" s="1454"/>
      <c r="M132" s="1454"/>
      <c r="N132" s="1454"/>
      <c r="O132" s="1454"/>
      <c r="P132" s="1454"/>
      <c r="Q132" s="1454"/>
      <c r="R132" s="1454"/>
      <c r="S132" s="1454"/>
      <c r="T132" s="1454"/>
      <c r="U132" s="1454"/>
      <c r="V132" s="1454"/>
      <c r="W132" s="1454"/>
      <c r="X132" s="1454"/>
      <c r="Y132" s="1454"/>
      <c r="Z132" s="1454"/>
      <c r="AA132" s="1454"/>
      <c r="AB132" s="1454"/>
      <c r="AC132" s="1454"/>
      <c r="AD132" s="1454"/>
      <c r="AE132" s="1454"/>
      <c r="AF132" s="1454"/>
      <c r="AG132" s="1454"/>
      <c r="AH132" s="1454"/>
      <c r="AJ132" s="512"/>
    </row>
    <row r="133" spans="1:51" s="308" customFormat="1" ht="11.25" customHeight="1" x14ac:dyDescent="0.25">
      <c r="A133" s="326"/>
      <c r="B133" s="326"/>
      <c r="C133" s="326"/>
      <c r="D133" s="326"/>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J133" s="508"/>
      <c r="AK133" s="307"/>
      <c r="AL133" s="307"/>
      <c r="AM133" s="307"/>
      <c r="AN133" s="307"/>
      <c r="AO133" s="307"/>
      <c r="AP133" s="307"/>
      <c r="AQ133" s="307"/>
      <c r="AR133" s="307"/>
      <c r="AS133" s="307"/>
      <c r="AT133" s="307"/>
      <c r="AU133" s="307"/>
      <c r="AV133" s="307"/>
      <c r="AW133" s="307"/>
      <c r="AX133" s="307"/>
      <c r="AY133" s="307"/>
    </row>
    <row r="134" spans="1:51" s="308" customFormat="1" ht="14.25" customHeight="1" x14ac:dyDescent="0.25">
      <c r="A134" s="1454" t="s">
        <v>86</v>
      </c>
      <c r="B134" s="1454"/>
      <c r="C134" s="1454"/>
      <c r="D134" s="1454"/>
      <c r="E134" s="1454"/>
      <c r="F134" s="1454"/>
      <c r="G134" s="1454"/>
      <c r="H134" s="1454"/>
      <c r="I134" s="1454"/>
      <c r="J134" s="1454"/>
      <c r="K134" s="1454"/>
      <c r="L134" s="1454"/>
      <c r="M134" s="1454"/>
      <c r="N134" s="1454"/>
      <c r="O134" s="1454"/>
      <c r="P134" s="1454"/>
      <c r="Q134" s="1454"/>
      <c r="R134" s="1454"/>
      <c r="S134" s="1454"/>
      <c r="T134" s="1454"/>
      <c r="U134" s="1454"/>
      <c r="V134" s="1454"/>
      <c r="W134" s="1454"/>
      <c r="X134" s="1454"/>
      <c r="Y134" s="1454"/>
      <c r="Z134" s="1454"/>
      <c r="AA134" s="1454"/>
      <c r="AB134" s="1454"/>
      <c r="AC134" s="1454"/>
      <c r="AD134" s="1454"/>
      <c r="AE134" s="1454"/>
      <c r="AF134" s="1454"/>
      <c r="AG134" s="1454"/>
      <c r="AH134" s="1454"/>
      <c r="AJ134" s="512"/>
    </row>
    <row r="135" spans="1:51" s="308" customFormat="1" ht="11.25" customHeight="1" x14ac:dyDescent="0.25">
      <c r="A135" s="326"/>
      <c r="B135" s="326"/>
      <c r="C135" s="326"/>
      <c r="D135" s="326"/>
      <c r="E135" s="326"/>
      <c r="F135" s="326"/>
      <c r="G135" s="326"/>
      <c r="H135" s="326"/>
      <c r="I135" s="326"/>
      <c r="J135" s="326"/>
      <c r="K135" s="326"/>
      <c r="L135" s="326"/>
      <c r="M135" s="326"/>
      <c r="N135" s="326"/>
      <c r="O135" s="326"/>
      <c r="P135" s="326"/>
      <c r="Q135" s="326"/>
      <c r="R135" s="326"/>
      <c r="S135" s="326"/>
      <c r="T135" s="326"/>
      <c r="U135" s="326"/>
      <c r="V135" s="326"/>
      <c r="W135" s="326"/>
      <c r="X135" s="326"/>
      <c r="Y135" s="326"/>
      <c r="Z135" s="326"/>
      <c r="AA135" s="326"/>
      <c r="AB135" s="326"/>
      <c r="AC135" s="326"/>
      <c r="AD135" s="326"/>
      <c r="AE135" s="326"/>
      <c r="AF135" s="326"/>
      <c r="AG135" s="326"/>
      <c r="AH135" s="326"/>
      <c r="AJ135" s="508"/>
      <c r="AK135" s="307"/>
      <c r="AL135" s="307"/>
      <c r="AM135" s="307"/>
      <c r="AN135" s="307"/>
      <c r="AO135" s="307"/>
      <c r="AP135" s="307"/>
      <c r="AQ135" s="307"/>
      <c r="AR135" s="307"/>
      <c r="AS135" s="307"/>
      <c r="AT135" s="307"/>
      <c r="AU135" s="307"/>
      <c r="AV135" s="307"/>
      <c r="AW135" s="307"/>
      <c r="AX135" s="307"/>
      <c r="AY135" s="307"/>
    </row>
    <row r="136" spans="1:51" s="305" customFormat="1" ht="14.1" customHeight="1" x14ac:dyDescent="0.25">
      <c r="A136" s="1426" t="s">
        <v>87</v>
      </c>
      <c r="B136" s="1426"/>
      <c r="C136" s="1426"/>
      <c r="D136" s="1426"/>
      <c r="E136" s="1426"/>
      <c r="F136" s="1426"/>
      <c r="G136" s="1426"/>
      <c r="H136" s="1426"/>
      <c r="I136" s="1426"/>
      <c r="J136" s="1426"/>
      <c r="K136" s="1426"/>
      <c r="L136" s="1426"/>
      <c r="M136" s="1426"/>
      <c r="N136" s="1426"/>
      <c r="O136" s="1426"/>
      <c r="P136" s="1426"/>
      <c r="Q136" s="1426"/>
      <c r="R136" s="1426"/>
      <c r="S136" s="1426"/>
      <c r="T136" s="1426"/>
      <c r="U136" s="1426"/>
      <c r="V136" s="1426"/>
      <c r="W136" s="1426"/>
      <c r="X136" s="1426"/>
      <c r="Y136" s="1426"/>
      <c r="Z136" s="1426"/>
      <c r="AA136" s="1426"/>
      <c r="AB136" s="1426"/>
      <c r="AC136" s="1426"/>
      <c r="AD136" s="1426"/>
      <c r="AE136" s="1426"/>
      <c r="AF136" s="1426"/>
      <c r="AG136" s="1426"/>
      <c r="AH136" s="1426"/>
      <c r="AJ136" s="651"/>
    </row>
    <row r="137" spans="1:51" s="305" customFormat="1" ht="15" customHeight="1" x14ac:dyDescent="0.25">
      <c r="A137" s="327"/>
      <c r="B137" s="327"/>
      <c r="C137" s="327"/>
      <c r="D137" s="327"/>
      <c r="F137" s="327"/>
      <c r="G137" s="1422" t="s">
        <v>88</v>
      </c>
      <c r="H137" s="1422"/>
      <c r="I137" s="1422"/>
      <c r="J137" s="1422"/>
      <c r="K137" s="1422"/>
      <c r="L137" s="1422"/>
      <c r="M137" s="1422"/>
      <c r="N137" s="1422" t="s">
        <v>89</v>
      </c>
      <c r="O137" s="1422"/>
      <c r="P137" s="1422"/>
      <c r="Q137" s="1422"/>
      <c r="R137" s="1422"/>
      <c r="S137" s="1422"/>
      <c r="T137" s="1422"/>
      <c r="U137" s="1422"/>
      <c r="V137" s="1422"/>
      <c r="W137" s="1422"/>
      <c r="X137" s="1422"/>
      <c r="Y137" s="1422"/>
      <c r="Z137" s="1422"/>
      <c r="AA137" s="1422"/>
      <c r="AB137" s="1422"/>
      <c r="AC137" s="327"/>
      <c r="AD137" s="327"/>
      <c r="AE137" s="327"/>
      <c r="AF137" s="327"/>
      <c r="AG137" s="327"/>
      <c r="AH137" s="327"/>
      <c r="AJ137" s="651"/>
    </row>
    <row r="138" spans="1:51" s="305" customFormat="1" ht="14.25" customHeight="1" x14ac:dyDescent="0.25">
      <c r="A138" s="327"/>
      <c r="B138" s="327"/>
      <c r="C138" s="327"/>
      <c r="D138" s="327"/>
      <c r="F138" s="327"/>
      <c r="G138" s="1423" t="s">
        <v>90</v>
      </c>
      <c r="H138" s="1423"/>
      <c r="I138" s="1423"/>
      <c r="J138" s="1423"/>
      <c r="K138" s="1423"/>
      <c r="L138" s="1423"/>
      <c r="M138" s="1423"/>
      <c r="N138" s="1424" t="s">
        <v>91</v>
      </c>
      <c r="O138" s="1424"/>
      <c r="P138" s="1424"/>
      <c r="Q138" s="1424"/>
      <c r="R138" s="1424"/>
      <c r="S138" s="1424"/>
      <c r="T138" s="1424"/>
      <c r="U138" s="1424"/>
      <c r="V138" s="1424"/>
      <c r="W138" s="1424"/>
      <c r="X138" s="1424"/>
      <c r="Y138" s="1424"/>
      <c r="Z138" s="1424"/>
      <c r="AA138" s="1424"/>
      <c r="AB138" s="1424"/>
      <c r="AC138" s="327"/>
      <c r="AD138" s="327"/>
      <c r="AE138" s="327"/>
      <c r="AF138" s="327"/>
      <c r="AG138" s="327"/>
      <c r="AH138" s="327"/>
      <c r="AJ138" s="651"/>
    </row>
    <row r="139" spans="1:51" s="305" customFormat="1" ht="14.25" customHeight="1" x14ac:dyDescent="0.25">
      <c r="A139" s="327"/>
      <c r="B139" s="327"/>
      <c r="C139" s="327"/>
      <c r="D139" s="327"/>
      <c r="F139" s="327"/>
      <c r="G139" s="1423" t="s">
        <v>92</v>
      </c>
      <c r="H139" s="1423"/>
      <c r="I139" s="1423"/>
      <c r="J139" s="1423"/>
      <c r="K139" s="1423"/>
      <c r="L139" s="1423"/>
      <c r="M139" s="1423"/>
      <c r="N139" s="1424" t="s">
        <v>93</v>
      </c>
      <c r="O139" s="1424"/>
      <c r="P139" s="1424"/>
      <c r="Q139" s="1424"/>
      <c r="R139" s="1424"/>
      <c r="S139" s="1424"/>
      <c r="T139" s="1424"/>
      <c r="U139" s="1424"/>
      <c r="V139" s="1424"/>
      <c r="W139" s="1424"/>
      <c r="X139" s="1424"/>
      <c r="Y139" s="1424"/>
      <c r="Z139" s="1424"/>
      <c r="AA139" s="1424"/>
      <c r="AB139" s="1424"/>
      <c r="AC139" s="327"/>
      <c r="AD139" s="327"/>
      <c r="AE139" s="327"/>
      <c r="AF139" s="327"/>
      <c r="AG139" s="327"/>
      <c r="AH139" s="327"/>
      <c r="AJ139" s="651"/>
    </row>
    <row r="140" spans="1:51" s="305" customFormat="1" ht="14.25" customHeight="1" x14ac:dyDescent="0.25">
      <c r="A140" s="327"/>
      <c r="B140" s="327"/>
      <c r="C140" s="327"/>
      <c r="D140" s="327"/>
      <c r="E140" s="327"/>
      <c r="F140" s="327"/>
      <c r="G140" s="1423"/>
      <c r="H140" s="1423"/>
      <c r="I140" s="1423"/>
      <c r="J140" s="1423"/>
      <c r="K140" s="1423"/>
      <c r="L140" s="1423"/>
      <c r="M140" s="1423"/>
      <c r="N140" s="1424"/>
      <c r="O140" s="1424"/>
      <c r="P140" s="1424"/>
      <c r="Q140" s="1424"/>
      <c r="R140" s="1424"/>
      <c r="S140" s="1424"/>
      <c r="T140" s="1424"/>
      <c r="U140" s="1424"/>
      <c r="V140" s="1424"/>
      <c r="W140" s="1424"/>
      <c r="X140" s="1424"/>
      <c r="Y140" s="1424"/>
      <c r="Z140" s="1424"/>
      <c r="AA140" s="1424"/>
      <c r="AB140" s="1424"/>
      <c r="AC140" s="327"/>
      <c r="AD140" s="327"/>
      <c r="AE140" s="327"/>
      <c r="AF140" s="327"/>
      <c r="AG140" s="327"/>
      <c r="AH140" s="327"/>
      <c r="AJ140" s="651"/>
    </row>
    <row r="141" spans="1:51" s="305" customFormat="1" ht="14.25" customHeight="1" x14ac:dyDescent="0.25">
      <c r="A141" s="327"/>
      <c r="B141" s="327"/>
      <c r="C141" s="327"/>
      <c r="D141" s="327"/>
      <c r="E141" s="327"/>
      <c r="F141" s="327"/>
      <c r="G141" s="1423"/>
      <c r="H141" s="1423"/>
      <c r="I141" s="1423"/>
      <c r="J141" s="1423"/>
      <c r="K141" s="1423"/>
      <c r="L141" s="1423"/>
      <c r="M141" s="1423"/>
      <c r="N141" s="1424"/>
      <c r="O141" s="1424"/>
      <c r="P141" s="1424"/>
      <c r="Q141" s="1424"/>
      <c r="R141" s="1424"/>
      <c r="S141" s="1424"/>
      <c r="T141" s="1424"/>
      <c r="U141" s="1424"/>
      <c r="V141" s="1424"/>
      <c r="W141" s="1424"/>
      <c r="X141" s="1424"/>
      <c r="Y141" s="1424"/>
      <c r="Z141" s="1424"/>
      <c r="AA141" s="1424"/>
      <c r="AB141" s="1424"/>
      <c r="AC141" s="327"/>
      <c r="AD141" s="327"/>
      <c r="AE141" s="327"/>
      <c r="AF141" s="327"/>
      <c r="AG141" s="327"/>
      <c r="AH141" s="327"/>
      <c r="AJ141" s="651"/>
    </row>
    <row r="142" spans="1:51" s="515" customFormat="1" ht="14.25" customHeight="1" x14ac:dyDescent="0.25">
      <c r="A142" s="514"/>
      <c r="B142" s="514"/>
      <c r="C142" s="514"/>
      <c r="D142" s="514"/>
      <c r="E142" s="514"/>
      <c r="F142" s="514"/>
      <c r="G142" s="1423" t="s">
        <v>94</v>
      </c>
      <c r="H142" s="1423"/>
      <c r="I142" s="1423"/>
      <c r="J142" s="1423"/>
      <c r="K142" s="1423"/>
      <c r="L142" s="1423"/>
      <c r="M142" s="1423"/>
      <c r="N142" s="1424" t="s">
        <v>95</v>
      </c>
      <c r="O142" s="1424"/>
      <c r="P142" s="1424"/>
      <c r="Q142" s="1424"/>
      <c r="R142" s="1424"/>
      <c r="S142" s="1424"/>
      <c r="T142" s="1424"/>
      <c r="U142" s="1424"/>
      <c r="V142" s="1424"/>
      <c r="W142" s="1424"/>
      <c r="X142" s="1424"/>
      <c r="Y142" s="1424"/>
      <c r="Z142" s="1424"/>
      <c r="AA142" s="1424"/>
      <c r="AB142" s="1424"/>
      <c r="AC142" s="514"/>
      <c r="AD142" s="514"/>
      <c r="AE142" s="514"/>
      <c r="AF142" s="514"/>
      <c r="AG142" s="514"/>
      <c r="AH142" s="514"/>
      <c r="AJ142" s="654"/>
    </row>
    <row r="143" spans="1:51" s="305" customFormat="1" ht="14.25" customHeight="1" x14ac:dyDescent="0.25">
      <c r="A143" s="327"/>
      <c r="B143" s="327"/>
      <c r="C143" s="327"/>
      <c r="D143" s="327"/>
      <c r="E143" s="327"/>
      <c r="F143" s="327"/>
      <c r="G143" s="1423"/>
      <c r="H143" s="1423"/>
      <c r="I143" s="1423"/>
      <c r="J143" s="1423"/>
      <c r="K143" s="1423"/>
      <c r="L143" s="1423"/>
      <c r="M143" s="1423"/>
      <c r="N143" s="1424"/>
      <c r="O143" s="1424"/>
      <c r="P143" s="1424"/>
      <c r="Q143" s="1424"/>
      <c r="R143" s="1424"/>
      <c r="S143" s="1424"/>
      <c r="T143" s="1424"/>
      <c r="U143" s="1424"/>
      <c r="V143" s="1424"/>
      <c r="W143" s="1424"/>
      <c r="X143" s="1424"/>
      <c r="Y143" s="1424"/>
      <c r="Z143" s="1424"/>
      <c r="AA143" s="1424"/>
      <c r="AB143" s="1424"/>
      <c r="AC143" s="327"/>
      <c r="AD143" s="327"/>
      <c r="AE143" s="327"/>
      <c r="AF143" s="327"/>
      <c r="AG143" s="327"/>
      <c r="AH143" s="327"/>
      <c r="AJ143" s="651"/>
    </row>
    <row r="144" spans="1:51" s="305" customFormat="1" ht="14.25" customHeight="1" x14ac:dyDescent="0.25">
      <c r="A144" s="327"/>
      <c r="B144" s="327"/>
      <c r="C144" s="327"/>
      <c r="D144" s="327"/>
      <c r="E144" s="327"/>
      <c r="F144" s="327"/>
      <c r="G144" s="1423" t="s">
        <v>96</v>
      </c>
      <c r="H144" s="1423"/>
      <c r="I144" s="1423"/>
      <c r="J144" s="1423"/>
      <c r="K144" s="1423"/>
      <c r="L144" s="1423"/>
      <c r="M144" s="1423"/>
      <c r="N144" s="1424" t="s">
        <v>97</v>
      </c>
      <c r="O144" s="1424"/>
      <c r="P144" s="1424"/>
      <c r="Q144" s="1424"/>
      <c r="R144" s="1424"/>
      <c r="S144" s="1424"/>
      <c r="T144" s="1424"/>
      <c r="U144" s="1424"/>
      <c r="V144" s="1424"/>
      <c r="W144" s="1424"/>
      <c r="X144" s="1424"/>
      <c r="Y144" s="1424"/>
      <c r="Z144" s="1424"/>
      <c r="AA144" s="1424"/>
      <c r="AB144" s="1424"/>
      <c r="AC144" s="327"/>
      <c r="AD144" s="327"/>
      <c r="AE144" s="327"/>
      <c r="AF144" s="327"/>
      <c r="AG144" s="327"/>
      <c r="AH144" s="327"/>
      <c r="AJ144" s="651"/>
    </row>
    <row r="145" spans="1:51" s="305" customFormat="1" ht="14.25" customHeight="1" x14ac:dyDescent="0.25">
      <c r="A145" s="327"/>
      <c r="B145" s="327"/>
      <c r="C145" s="327"/>
      <c r="D145" s="327"/>
      <c r="E145" s="327"/>
      <c r="F145" s="327"/>
      <c r="G145" s="1423" t="s">
        <v>98</v>
      </c>
      <c r="H145" s="1423"/>
      <c r="I145" s="1423"/>
      <c r="J145" s="1423"/>
      <c r="K145" s="1423"/>
      <c r="L145" s="1423"/>
      <c r="M145" s="1423"/>
      <c r="N145" s="1424" t="s">
        <v>99</v>
      </c>
      <c r="O145" s="1424"/>
      <c r="P145" s="1424"/>
      <c r="Q145" s="1424"/>
      <c r="R145" s="1424"/>
      <c r="S145" s="1424"/>
      <c r="T145" s="1424"/>
      <c r="U145" s="1424"/>
      <c r="V145" s="1424"/>
      <c r="W145" s="1424"/>
      <c r="X145" s="1424"/>
      <c r="Y145" s="1424"/>
      <c r="Z145" s="1424"/>
      <c r="AA145" s="1424"/>
      <c r="AB145" s="1424"/>
      <c r="AC145" s="327"/>
      <c r="AD145" s="327"/>
      <c r="AE145" s="327"/>
      <c r="AF145" s="327"/>
      <c r="AG145" s="327"/>
      <c r="AH145" s="327"/>
      <c r="AJ145" s="651"/>
    </row>
    <row r="146" spans="1:51" s="305" customFormat="1" ht="14.25" customHeight="1" x14ac:dyDescent="0.25">
      <c r="A146" s="327"/>
      <c r="B146" s="327"/>
      <c r="C146" s="327"/>
      <c r="D146" s="327"/>
      <c r="E146" s="327"/>
      <c r="F146" s="327"/>
      <c r="G146" s="1423"/>
      <c r="H146" s="1423"/>
      <c r="I146" s="1423"/>
      <c r="J146" s="1423"/>
      <c r="K146" s="1423"/>
      <c r="L146" s="1423"/>
      <c r="M146" s="1423"/>
      <c r="N146" s="1424"/>
      <c r="O146" s="1424"/>
      <c r="P146" s="1424"/>
      <c r="Q146" s="1424"/>
      <c r="R146" s="1424"/>
      <c r="S146" s="1424"/>
      <c r="T146" s="1424"/>
      <c r="U146" s="1424"/>
      <c r="V146" s="1424"/>
      <c r="W146" s="1424"/>
      <c r="X146" s="1424"/>
      <c r="Y146" s="1424"/>
      <c r="Z146" s="1424"/>
      <c r="AA146" s="1424"/>
      <c r="AB146" s="1424"/>
      <c r="AC146" s="327"/>
      <c r="AD146" s="327"/>
      <c r="AE146" s="327"/>
      <c r="AF146" s="327"/>
      <c r="AG146" s="327"/>
      <c r="AH146" s="327"/>
      <c r="AJ146" s="651"/>
    </row>
    <row r="147" spans="1:51" s="305" customFormat="1" ht="14.25" customHeight="1" x14ac:dyDescent="0.25">
      <c r="A147" s="327"/>
      <c r="B147" s="327"/>
      <c r="C147" s="327"/>
      <c r="D147" s="327"/>
      <c r="E147" s="327"/>
      <c r="F147" s="327"/>
      <c r="G147" s="1423"/>
      <c r="H147" s="1423"/>
      <c r="I147" s="1423"/>
      <c r="J147" s="1423"/>
      <c r="K147" s="1423"/>
      <c r="L147" s="1423"/>
      <c r="M147" s="1423"/>
      <c r="N147" s="1424"/>
      <c r="O147" s="1424"/>
      <c r="P147" s="1424"/>
      <c r="Q147" s="1424"/>
      <c r="R147" s="1424"/>
      <c r="S147" s="1424"/>
      <c r="T147" s="1424"/>
      <c r="U147" s="1424"/>
      <c r="V147" s="1424"/>
      <c r="W147" s="1424"/>
      <c r="X147" s="1424"/>
      <c r="Y147" s="1424"/>
      <c r="Z147" s="1424"/>
      <c r="AA147" s="1424"/>
      <c r="AB147" s="1424"/>
      <c r="AC147" s="327"/>
      <c r="AD147" s="327"/>
      <c r="AE147" s="327"/>
      <c r="AF147" s="327"/>
      <c r="AG147" s="327"/>
      <c r="AH147" s="327"/>
      <c r="AJ147" s="651"/>
    </row>
    <row r="148" spans="1:51" s="305" customFormat="1" ht="14.25" customHeight="1" x14ac:dyDescent="0.25">
      <c r="A148" s="327"/>
      <c r="B148" s="327"/>
      <c r="C148" s="327"/>
      <c r="D148" s="327"/>
      <c r="E148" s="327"/>
      <c r="F148" s="327"/>
      <c r="G148" s="1423"/>
      <c r="H148" s="1423"/>
      <c r="I148" s="1423"/>
      <c r="J148" s="1423"/>
      <c r="K148" s="1423"/>
      <c r="L148" s="1423"/>
      <c r="M148" s="1423"/>
      <c r="N148" s="1424"/>
      <c r="O148" s="1424"/>
      <c r="P148" s="1424"/>
      <c r="Q148" s="1424"/>
      <c r="R148" s="1424"/>
      <c r="S148" s="1424"/>
      <c r="T148" s="1424"/>
      <c r="U148" s="1424"/>
      <c r="V148" s="1424"/>
      <c r="W148" s="1424"/>
      <c r="X148" s="1424"/>
      <c r="Y148" s="1424"/>
      <c r="Z148" s="1424"/>
      <c r="AA148" s="1424"/>
      <c r="AB148" s="1424"/>
      <c r="AC148" s="327"/>
      <c r="AD148" s="327"/>
      <c r="AE148" s="327"/>
      <c r="AF148" s="327"/>
      <c r="AG148" s="327"/>
      <c r="AH148" s="327"/>
      <c r="AJ148" s="651"/>
    </row>
    <row r="149" spans="1:51" s="305" customFormat="1" ht="14.25" customHeight="1" x14ac:dyDescent="0.25">
      <c r="A149" s="327"/>
      <c r="B149" s="327"/>
      <c r="C149" s="327"/>
      <c r="D149" s="327"/>
      <c r="E149" s="327"/>
      <c r="F149" s="327"/>
      <c r="G149" s="1423" t="s">
        <v>100</v>
      </c>
      <c r="H149" s="1423"/>
      <c r="I149" s="1423"/>
      <c r="J149" s="1423"/>
      <c r="K149" s="1423"/>
      <c r="L149" s="1423"/>
      <c r="M149" s="1423"/>
      <c r="N149" s="1424" t="s">
        <v>101</v>
      </c>
      <c r="O149" s="1424"/>
      <c r="P149" s="1424"/>
      <c r="Q149" s="1424"/>
      <c r="R149" s="1424"/>
      <c r="S149" s="1424"/>
      <c r="T149" s="1424"/>
      <c r="U149" s="1424"/>
      <c r="V149" s="1424"/>
      <c r="W149" s="1424"/>
      <c r="X149" s="1424"/>
      <c r="Y149" s="1424"/>
      <c r="Z149" s="1424"/>
      <c r="AA149" s="1424"/>
      <c r="AB149" s="1424"/>
      <c r="AC149" s="327"/>
      <c r="AD149" s="327"/>
      <c r="AE149" s="327"/>
      <c r="AF149" s="327"/>
      <c r="AG149" s="327"/>
      <c r="AH149" s="327"/>
      <c r="AJ149" s="651"/>
    </row>
    <row r="150" spans="1:51" s="305" customFormat="1" ht="14.25" customHeight="1" x14ac:dyDescent="0.25">
      <c r="A150" s="327"/>
      <c r="B150" s="327"/>
      <c r="C150" s="327"/>
      <c r="D150" s="327"/>
      <c r="E150" s="327"/>
      <c r="F150" s="327"/>
      <c r="G150" s="1423"/>
      <c r="H150" s="1423"/>
      <c r="I150" s="1423"/>
      <c r="J150" s="1423"/>
      <c r="K150" s="1423"/>
      <c r="L150" s="1423"/>
      <c r="M150" s="1423"/>
      <c r="N150" s="1424"/>
      <c r="O150" s="1424"/>
      <c r="P150" s="1424"/>
      <c r="Q150" s="1424"/>
      <c r="R150" s="1424"/>
      <c r="S150" s="1424"/>
      <c r="T150" s="1424"/>
      <c r="U150" s="1424"/>
      <c r="V150" s="1424"/>
      <c r="W150" s="1424"/>
      <c r="X150" s="1424"/>
      <c r="Y150" s="1424"/>
      <c r="Z150" s="1424"/>
      <c r="AA150" s="1424"/>
      <c r="AB150" s="1424"/>
      <c r="AC150" s="327"/>
      <c r="AD150" s="327"/>
      <c r="AE150" s="327"/>
      <c r="AF150" s="327"/>
      <c r="AG150" s="327"/>
      <c r="AH150" s="327"/>
      <c r="AJ150" s="651"/>
    </row>
    <row r="151" spans="1:51" s="305" customFormat="1" ht="14.25" customHeight="1" x14ac:dyDescent="0.25">
      <c r="A151" s="327"/>
      <c r="B151" s="327"/>
      <c r="C151" s="327"/>
      <c r="D151" s="327"/>
      <c r="E151" s="327"/>
      <c r="F151" s="327"/>
      <c r="G151" s="1423" t="s">
        <v>102</v>
      </c>
      <c r="H151" s="1423"/>
      <c r="I151" s="1423"/>
      <c r="J151" s="1423"/>
      <c r="K151" s="1423"/>
      <c r="L151" s="1423"/>
      <c r="M151" s="1423"/>
      <c r="N151" s="1424" t="s">
        <v>103</v>
      </c>
      <c r="O151" s="1424"/>
      <c r="P151" s="1424"/>
      <c r="Q151" s="1424"/>
      <c r="R151" s="1424"/>
      <c r="S151" s="1424"/>
      <c r="T151" s="1424"/>
      <c r="U151" s="1424"/>
      <c r="V151" s="1424"/>
      <c r="W151" s="1424"/>
      <c r="X151" s="1424"/>
      <c r="Y151" s="1424"/>
      <c r="Z151" s="1424"/>
      <c r="AA151" s="1424"/>
      <c r="AB151" s="1424"/>
      <c r="AC151" s="327"/>
      <c r="AD151" s="327"/>
      <c r="AE151" s="327"/>
      <c r="AF151" s="327"/>
      <c r="AG151" s="327"/>
      <c r="AH151" s="327"/>
      <c r="AJ151" s="651"/>
    </row>
    <row r="152" spans="1:51" s="305" customFormat="1" ht="14.25" customHeight="1" x14ac:dyDescent="0.25">
      <c r="A152" s="327"/>
      <c r="B152" s="327"/>
      <c r="C152" s="327"/>
      <c r="D152" s="327"/>
      <c r="E152" s="327"/>
      <c r="F152" s="327"/>
      <c r="G152" s="1423"/>
      <c r="H152" s="1423"/>
      <c r="I152" s="1423"/>
      <c r="J152" s="1423"/>
      <c r="K152" s="1423"/>
      <c r="L152" s="1423"/>
      <c r="M152" s="1423"/>
      <c r="N152" s="1424"/>
      <c r="O152" s="1424"/>
      <c r="P152" s="1424"/>
      <c r="Q152" s="1424"/>
      <c r="R152" s="1424"/>
      <c r="S152" s="1424"/>
      <c r="T152" s="1424"/>
      <c r="U152" s="1424"/>
      <c r="V152" s="1424"/>
      <c r="W152" s="1424"/>
      <c r="X152" s="1424"/>
      <c r="Y152" s="1424"/>
      <c r="Z152" s="1424"/>
      <c r="AA152" s="1424"/>
      <c r="AB152" s="1424"/>
      <c r="AC152" s="327"/>
      <c r="AD152" s="327"/>
      <c r="AE152" s="327"/>
      <c r="AF152" s="327"/>
      <c r="AG152" s="327"/>
      <c r="AH152" s="327"/>
      <c r="AJ152" s="651"/>
    </row>
    <row r="153" spans="1:51" s="305" customFormat="1" ht="14.25" customHeight="1" x14ac:dyDescent="0.25">
      <c r="A153" s="327"/>
      <c r="B153" s="327"/>
      <c r="C153" s="327"/>
      <c r="D153" s="327"/>
      <c r="E153" s="327"/>
      <c r="F153" s="327"/>
      <c r="G153" s="1423"/>
      <c r="H153" s="1423"/>
      <c r="I153" s="1423"/>
      <c r="J153" s="1423"/>
      <c r="K153" s="1423"/>
      <c r="L153" s="1423"/>
      <c r="M153" s="1423"/>
      <c r="N153" s="1424"/>
      <c r="O153" s="1424"/>
      <c r="P153" s="1424"/>
      <c r="Q153" s="1424"/>
      <c r="R153" s="1424"/>
      <c r="S153" s="1424"/>
      <c r="T153" s="1424"/>
      <c r="U153" s="1424"/>
      <c r="V153" s="1424"/>
      <c r="W153" s="1424"/>
      <c r="X153" s="1424"/>
      <c r="Y153" s="1424"/>
      <c r="Z153" s="1424"/>
      <c r="AA153" s="1424"/>
      <c r="AB153" s="1424"/>
      <c r="AC153" s="327"/>
      <c r="AD153" s="327"/>
      <c r="AE153" s="327"/>
      <c r="AF153" s="327"/>
      <c r="AG153" s="327"/>
      <c r="AH153" s="327"/>
      <c r="AJ153" s="651"/>
    </row>
    <row r="154" spans="1:51" s="305" customFormat="1" ht="14.25" customHeight="1" x14ac:dyDescent="0.25">
      <c r="A154" s="327"/>
      <c r="B154" s="327"/>
      <c r="C154" s="327"/>
      <c r="D154" s="327"/>
      <c r="E154" s="327"/>
      <c r="F154" s="327"/>
      <c r="G154" s="1423" t="s">
        <v>104</v>
      </c>
      <c r="H154" s="1423"/>
      <c r="I154" s="1423"/>
      <c r="J154" s="1423"/>
      <c r="K154" s="1423"/>
      <c r="L154" s="1423"/>
      <c r="M154" s="1423"/>
      <c r="N154" s="1424" t="s">
        <v>105</v>
      </c>
      <c r="O154" s="1424"/>
      <c r="P154" s="1424"/>
      <c r="Q154" s="1424"/>
      <c r="R154" s="1424"/>
      <c r="S154" s="1424"/>
      <c r="T154" s="1424"/>
      <c r="U154" s="1424"/>
      <c r="V154" s="1424"/>
      <c r="W154" s="1424"/>
      <c r="X154" s="1424"/>
      <c r="Y154" s="1424"/>
      <c r="Z154" s="1424"/>
      <c r="AA154" s="1424"/>
      <c r="AB154" s="1424"/>
      <c r="AC154" s="327"/>
      <c r="AD154" s="327"/>
      <c r="AE154" s="327"/>
      <c r="AF154" s="327"/>
      <c r="AG154" s="327"/>
      <c r="AH154" s="327"/>
      <c r="AJ154" s="651"/>
    </row>
    <row r="155" spans="1:51" s="305" customFormat="1" ht="14.25" customHeight="1" x14ac:dyDescent="0.25">
      <c r="A155" s="327"/>
      <c r="B155" s="327"/>
      <c r="C155" s="327"/>
      <c r="D155" s="327"/>
      <c r="E155" s="327"/>
      <c r="F155" s="327"/>
      <c r="G155" s="1423"/>
      <c r="H155" s="1423"/>
      <c r="I155" s="1423"/>
      <c r="J155" s="1423"/>
      <c r="K155" s="1423"/>
      <c r="L155" s="1423"/>
      <c r="M155" s="1423"/>
      <c r="N155" s="1424"/>
      <c r="O155" s="1424"/>
      <c r="P155" s="1424"/>
      <c r="Q155" s="1424"/>
      <c r="R155" s="1424"/>
      <c r="S155" s="1424"/>
      <c r="T155" s="1424"/>
      <c r="U155" s="1424"/>
      <c r="V155" s="1424"/>
      <c r="W155" s="1424"/>
      <c r="X155" s="1424"/>
      <c r="Y155" s="1424"/>
      <c r="Z155" s="1424"/>
      <c r="AA155" s="1424"/>
      <c r="AB155" s="1424"/>
      <c r="AC155" s="327"/>
      <c r="AD155" s="327"/>
      <c r="AE155" s="327"/>
      <c r="AF155" s="327"/>
      <c r="AG155" s="327"/>
      <c r="AH155" s="327"/>
      <c r="AJ155" s="651"/>
    </row>
    <row r="156" spans="1:51" s="305" customFormat="1" ht="12" customHeight="1" x14ac:dyDescent="0.25">
      <c r="A156" s="1425" t="s">
        <v>106</v>
      </c>
      <c r="B156" s="1425"/>
      <c r="C156" s="1425"/>
      <c r="D156" s="1425"/>
      <c r="E156" s="1425"/>
      <c r="F156" s="1425"/>
      <c r="G156" s="1425"/>
      <c r="H156" s="1425"/>
      <c r="I156" s="1425"/>
      <c r="J156" s="1425"/>
      <c r="K156" s="1425"/>
      <c r="L156" s="1425"/>
      <c r="M156" s="1425"/>
      <c r="N156" s="1425"/>
      <c r="O156" s="1425"/>
      <c r="P156" s="1425"/>
      <c r="Q156" s="1425"/>
      <c r="R156" s="1425"/>
      <c r="S156" s="1425"/>
      <c r="T156" s="1425"/>
      <c r="U156" s="1425"/>
      <c r="V156" s="1425"/>
      <c r="W156" s="1425"/>
      <c r="X156" s="1425"/>
      <c r="Y156" s="1425"/>
      <c r="Z156" s="1425"/>
      <c r="AA156" s="1425"/>
      <c r="AB156" s="1425"/>
      <c r="AC156" s="1425"/>
      <c r="AD156" s="1425"/>
      <c r="AE156" s="1425"/>
      <c r="AF156" s="1425"/>
      <c r="AG156" s="1425"/>
      <c r="AH156" s="1425"/>
      <c r="AJ156" s="651"/>
    </row>
    <row r="157" spans="1:51" s="308" customFormat="1" ht="11.25" customHeight="1" x14ac:dyDescent="0.25">
      <c r="A157" s="326"/>
      <c r="B157" s="326"/>
      <c r="C157" s="326"/>
      <c r="D157" s="326"/>
      <c r="E157" s="326"/>
      <c r="F157" s="326"/>
      <c r="G157" s="326"/>
      <c r="H157" s="326"/>
      <c r="I157" s="326"/>
      <c r="J157" s="326"/>
      <c r="K157" s="326"/>
      <c r="L157" s="326"/>
      <c r="M157" s="326"/>
      <c r="N157" s="326"/>
      <c r="O157" s="326"/>
      <c r="P157" s="326"/>
      <c r="Q157" s="326"/>
      <c r="R157" s="326"/>
      <c r="S157" s="326"/>
      <c r="T157" s="326"/>
      <c r="U157" s="326"/>
      <c r="V157" s="326"/>
      <c r="W157" s="326"/>
      <c r="X157" s="326"/>
      <c r="Y157" s="326"/>
      <c r="Z157" s="326"/>
      <c r="AA157" s="326"/>
      <c r="AB157" s="326"/>
      <c r="AC157" s="326"/>
      <c r="AD157" s="326"/>
      <c r="AE157" s="326"/>
      <c r="AF157" s="326"/>
      <c r="AG157" s="326"/>
      <c r="AH157" s="326"/>
      <c r="AJ157" s="508"/>
      <c r="AK157" s="307"/>
      <c r="AL157" s="307"/>
      <c r="AM157" s="307"/>
      <c r="AN157" s="307"/>
      <c r="AO157" s="307"/>
      <c r="AP157" s="307"/>
      <c r="AQ157" s="307"/>
      <c r="AR157" s="307"/>
      <c r="AS157" s="307"/>
      <c r="AT157" s="307"/>
      <c r="AU157" s="307"/>
      <c r="AV157" s="307"/>
      <c r="AW157" s="307"/>
      <c r="AX157" s="307"/>
      <c r="AY157" s="307"/>
    </row>
    <row r="158" spans="1:51" s="305" customFormat="1" ht="14.1" customHeight="1" x14ac:dyDescent="0.25">
      <c r="A158" s="1426" t="s">
        <v>107</v>
      </c>
      <c r="B158" s="1426"/>
      <c r="C158" s="1426"/>
      <c r="D158" s="1426"/>
      <c r="E158" s="1426"/>
      <c r="F158" s="1426"/>
      <c r="G158" s="1426"/>
      <c r="H158" s="1426"/>
      <c r="I158" s="1426"/>
      <c r="J158" s="1426"/>
      <c r="K158" s="1426"/>
      <c r="L158" s="1426"/>
      <c r="M158" s="1426"/>
      <c r="N158" s="1426"/>
      <c r="O158" s="1426"/>
      <c r="P158" s="1426"/>
      <c r="Q158" s="1426"/>
      <c r="R158" s="1426"/>
      <c r="S158" s="1426"/>
      <c r="T158" s="1426"/>
      <c r="U158" s="1426"/>
      <c r="V158" s="1426"/>
      <c r="W158" s="1426"/>
      <c r="X158" s="1426"/>
      <c r="Y158" s="1426"/>
      <c r="Z158" s="1426"/>
      <c r="AA158" s="1426"/>
      <c r="AB158" s="1426"/>
      <c r="AC158" s="1426"/>
      <c r="AD158" s="1426"/>
      <c r="AE158" s="1426"/>
      <c r="AF158" s="1426"/>
      <c r="AG158" s="1426"/>
      <c r="AH158" s="1426"/>
      <c r="AJ158" s="651"/>
    </row>
    <row r="159" spans="1:51" s="305" customFormat="1" ht="15" customHeight="1" x14ac:dyDescent="0.25">
      <c r="A159" s="327"/>
      <c r="B159" s="327"/>
      <c r="C159" s="327"/>
      <c r="D159" s="327"/>
      <c r="F159" s="327"/>
      <c r="G159" s="1422" t="s">
        <v>88</v>
      </c>
      <c r="H159" s="1422"/>
      <c r="I159" s="1422"/>
      <c r="J159" s="1422"/>
      <c r="K159" s="1422"/>
      <c r="L159" s="1422"/>
      <c r="M159" s="1422"/>
      <c r="N159" s="1422" t="s">
        <v>89</v>
      </c>
      <c r="O159" s="1422"/>
      <c r="P159" s="1422"/>
      <c r="Q159" s="1422"/>
      <c r="R159" s="1422"/>
      <c r="S159" s="1422"/>
      <c r="T159" s="1422"/>
      <c r="U159" s="1422"/>
      <c r="V159" s="1422"/>
      <c r="W159" s="1422"/>
      <c r="X159" s="1422"/>
      <c r="Y159" s="1422"/>
      <c r="Z159" s="1422"/>
      <c r="AA159" s="1422"/>
      <c r="AB159" s="1422"/>
      <c r="AC159" s="327"/>
      <c r="AD159" s="327"/>
      <c r="AE159" s="327"/>
      <c r="AF159" s="327"/>
      <c r="AG159" s="327"/>
      <c r="AH159" s="327"/>
      <c r="AJ159" s="651"/>
    </row>
    <row r="160" spans="1:51" s="305" customFormat="1" ht="14.25" customHeight="1" x14ac:dyDescent="0.25">
      <c r="A160" s="327"/>
      <c r="B160" s="327"/>
      <c r="C160" s="327"/>
      <c r="D160" s="327"/>
      <c r="F160" s="327"/>
      <c r="G160" s="1423" t="s">
        <v>108</v>
      </c>
      <c r="H160" s="1423"/>
      <c r="I160" s="1423"/>
      <c r="J160" s="1423"/>
      <c r="K160" s="1423"/>
      <c r="L160" s="1423"/>
      <c r="M160" s="1423"/>
      <c r="N160" s="1424" t="s">
        <v>109</v>
      </c>
      <c r="O160" s="1424"/>
      <c r="P160" s="1424"/>
      <c r="Q160" s="1424"/>
      <c r="R160" s="1424"/>
      <c r="S160" s="1424"/>
      <c r="T160" s="1424"/>
      <c r="U160" s="1424"/>
      <c r="V160" s="1424"/>
      <c r="W160" s="1424"/>
      <c r="X160" s="1424"/>
      <c r="Y160" s="1424"/>
      <c r="Z160" s="1424"/>
      <c r="AA160" s="1424"/>
      <c r="AB160" s="1424"/>
      <c r="AC160" s="327"/>
      <c r="AD160" s="327"/>
      <c r="AE160" s="327"/>
      <c r="AF160" s="327"/>
      <c r="AG160" s="327"/>
      <c r="AH160" s="327"/>
      <c r="AJ160" s="651"/>
    </row>
    <row r="161" spans="1:36" s="305" customFormat="1" ht="14.25" customHeight="1" x14ac:dyDescent="0.25">
      <c r="A161" s="327"/>
      <c r="B161" s="327"/>
      <c r="C161" s="327"/>
      <c r="D161" s="327"/>
      <c r="F161" s="327"/>
      <c r="G161" s="1423" t="s">
        <v>90</v>
      </c>
      <c r="H161" s="1423"/>
      <c r="I161" s="1423"/>
      <c r="J161" s="1423"/>
      <c r="K161" s="1423"/>
      <c r="L161" s="1423"/>
      <c r="M161" s="1423"/>
      <c r="N161" s="1424" t="s">
        <v>91</v>
      </c>
      <c r="O161" s="1424"/>
      <c r="P161" s="1424"/>
      <c r="Q161" s="1424"/>
      <c r="R161" s="1424"/>
      <c r="S161" s="1424"/>
      <c r="T161" s="1424"/>
      <c r="U161" s="1424"/>
      <c r="V161" s="1424"/>
      <c r="W161" s="1424"/>
      <c r="X161" s="1424"/>
      <c r="Y161" s="1424"/>
      <c r="Z161" s="1424"/>
      <c r="AA161" s="1424"/>
      <c r="AB161" s="1424"/>
      <c r="AC161" s="327"/>
      <c r="AD161" s="327"/>
      <c r="AE161" s="327"/>
      <c r="AF161" s="327"/>
      <c r="AG161" s="327"/>
      <c r="AH161" s="327"/>
      <c r="AJ161" s="651"/>
    </row>
    <row r="162" spans="1:36" s="305" customFormat="1" ht="14.25" customHeight="1" x14ac:dyDescent="0.25">
      <c r="A162" s="327"/>
      <c r="B162" s="327"/>
      <c r="C162" s="327"/>
      <c r="D162" s="327"/>
      <c r="F162" s="327"/>
      <c r="G162" s="1423" t="s">
        <v>92</v>
      </c>
      <c r="H162" s="1423"/>
      <c r="I162" s="1423"/>
      <c r="J162" s="1423"/>
      <c r="K162" s="1423"/>
      <c r="L162" s="1423"/>
      <c r="M162" s="1423"/>
      <c r="N162" s="1424" t="s">
        <v>110</v>
      </c>
      <c r="O162" s="1424"/>
      <c r="P162" s="1424"/>
      <c r="Q162" s="1424"/>
      <c r="R162" s="1424"/>
      <c r="S162" s="1424"/>
      <c r="T162" s="1424"/>
      <c r="U162" s="1424"/>
      <c r="V162" s="1424"/>
      <c r="W162" s="1424"/>
      <c r="X162" s="1424"/>
      <c r="Y162" s="1424"/>
      <c r="Z162" s="1424"/>
      <c r="AA162" s="1424"/>
      <c r="AB162" s="1424"/>
      <c r="AC162" s="327"/>
      <c r="AD162" s="327"/>
      <c r="AE162" s="327"/>
      <c r="AF162" s="327"/>
      <c r="AG162" s="327"/>
      <c r="AH162" s="327"/>
      <c r="AJ162" s="651"/>
    </row>
    <row r="163" spans="1:36" s="305" customFormat="1" ht="14.25" customHeight="1" x14ac:dyDescent="0.25">
      <c r="A163" s="327"/>
      <c r="B163" s="327"/>
      <c r="C163" s="327"/>
      <c r="D163" s="327"/>
      <c r="E163" s="327"/>
      <c r="F163" s="327"/>
      <c r="G163" s="1423"/>
      <c r="H163" s="1423"/>
      <c r="I163" s="1423"/>
      <c r="J163" s="1423"/>
      <c r="K163" s="1423"/>
      <c r="L163" s="1423"/>
      <c r="M163" s="1423"/>
      <c r="N163" s="1424"/>
      <c r="O163" s="1424"/>
      <c r="P163" s="1424"/>
      <c r="Q163" s="1424"/>
      <c r="R163" s="1424"/>
      <c r="S163" s="1424"/>
      <c r="T163" s="1424"/>
      <c r="U163" s="1424"/>
      <c r="V163" s="1424"/>
      <c r="W163" s="1424"/>
      <c r="X163" s="1424"/>
      <c r="Y163" s="1424"/>
      <c r="Z163" s="1424"/>
      <c r="AA163" s="1424"/>
      <c r="AB163" s="1424"/>
      <c r="AC163" s="327"/>
      <c r="AD163" s="327"/>
      <c r="AE163" s="327"/>
      <c r="AF163" s="327"/>
      <c r="AG163" s="327"/>
      <c r="AH163" s="327"/>
      <c r="AJ163" s="651"/>
    </row>
    <row r="164" spans="1:36" s="515" customFormat="1" ht="14.25" customHeight="1" x14ac:dyDescent="0.25">
      <c r="A164" s="514"/>
      <c r="B164" s="514"/>
      <c r="C164" s="514"/>
      <c r="D164" s="514"/>
      <c r="E164" s="514"/>
      <c r="F164" s="514"/>
      <c r="G164" s="1423" t="s">
        <v>94</v>
      </c>
      <c r="H164" s="1423"/>
      <c r="I164" s="1423"/>
      <c r="J164" s="1423"/>
      <c r="K164" s="1423"/>
      <c r="L164" s="1423"/>
      <c r="M164" s="1423"/>
      <c r="N164" s="1424" t="s">
        <v>111</v>
      </c>
      <c r="O164" s="1424"/>
      <c r="P164" s="1424"/>
      <c r="Q164" s="1424"/>
      <c r="R164" s="1424"/>
      <c r="S164" s="1424"/>
      <c r="T164" s="1424"/>
      <c r="U164" s="1424"/>
      <c r="V164" s="1424"/>
      <c r="W164" s="1424"/>
      <c r="X164" s="1424"/>
      <c r="Y164" s="1424"/>
      <c r="Z164" s="1424"/>
      <c r="AA164" s="1424"/>
      <c r="AB164" s="1424"/>
      <c r="AC164" s="514"/>
      <c r="AD164" s="514"/>
      <c r="AE164" s="514"/>
      <c r="AF164" s="514"/>
      <c r="AG164" s="514"/>
      <c r="AH164" s="514"/>
      <c r="AJ164" s="654"/>
    </row>
    <row r="165" spans="1:36" s="305" customFormat="1" ht="14.25" customHeight="1" x14ac:dyDescent="0.25">
      <c r="A165" s="327"/>
      <c r="B165" s="327"/>
      <c r="C165" s="327"/>
      <c r="D165" s="327"/>
      <c r="E165" s="327"/>
      <c r="F165" s="327"/>
      <c r="G165" s="1423" t="s">
        <v>112</v>
      </c>
      <c r="H165" s="1423"/>
      <c r="I165" s="1423"/>
      <c r="J165" s="1423"/>
      <c r="K165" s="1423"/>
      <c r="L165" s="1423"/>
      <c r="M165" s="1423"/>
      <c r="N165" s="1424" t="s">
        <v>113</v>
      </c>
      <c r="O165" s="1424"/>
      <c r="P165" s="1424"/>
      <c r="Q165" s="1424"/>
      <c r="R165" s="1424"/>
      <c r="S165" s="1424"/>
      <c r="T165" s="1424"/>
      <c r="U165" s="1424"/>
      <c r="V165" s="1424"/>
      <c r="W165" s="1424"/>
      <c r="X165" s="1424"/>
      <c r="Y165" s="1424"/>
      <c r="Z165" s="1424"/>
      <c r="AA165" s="1424"/>
      <c r="AB165" s="1424"/>
      <c r="AC165" s="327"/>
      <c r="AD165" s="327"/>
      <c r="AE165" s="327"/>
      <c r="AF165" s="327"/>
      <c r="AG165" s="327"/>
      <c r="AH165" s="327"/>
      <c r="AJ165" s="651"/>
    </row>
    <row r="166" spans="1:36" s="305" customFormat="1" ht="14.25" customHeight="1" x14ac:dyDescent="0.25">
      <c r="A166" s="327"/>
      <c r="B166" s="327"/>
      <c r="C166" s="327"/>
      <c r="D166" s="327"/>
      <c r="E166" s="327"/>
      <c r="F166" s="327"/>
      <c r="G166" s="1423" t="s">
        <v>114</v>
      </c>
      <c r="H166" s="1423"/>
      <c r="I166" s="1423"/>
      <c r="J166" s="1423"/>
      <c r="K166" s="1423"/>
      <c r="L166" s="1423"/>
      <c r="M166" s="1423"/>
      <c r="N166" s="1424" t="s">
        <v>115</v>
      </c>
      <c r="O166" s="1424"/>
      <c r="P166" s="1424"/>
      <c r="Q166" s="1424"/>
      <c r="R166" s="1424"/>
      <c r="S166" s="1424"/>
      <c r="T166" s="1424"/>
      <c r="U166" s="1424"/>
      <c r="V166" s="1424"/>
      <c r="W166" s="1424"/>
      <c r="X166" s="1424"/>
      <c r="Y166" s="1424"/>
      <c r="Z166" s="1424"/>
      <c r="AA166" s="1424"/>
      <c r="AB166" s="1424"/>
      <c r="AC166" s="327"/>
      <c r="AD166" s="327"/>
      <c r="AE166" s="327"/>
      <c r="AF166" s="327"/>
      <c r="AG166" s="327"/>
      <c r="AH166" s="327"/>
      <c r="AJ166" s="651"/>
    </row>
    <row r="167" spans="1:36" s="305" customFormat="1" ht="14.25" customHeight="1" x14ac:dyDescent="0.25">
      <c r="A167" s="327"/>
      <c r="B167" s="327"/>
      <c r="C167" s="327"/>
      <c r="D167" s="327"/>
      <c r="E167" s="327"/>
      <c r="F167" s="327"/>
      <c r="G167" s="1423" t="s">
        <v>96</v>
      </c>
      <c r="H167" s="1423"/>
      <c r="I167" s="1423"/>
      <c r="J167" s="1423"/>
      <c r="K167" s="1423"/>
      <c r="L167" s="1423"/>
      <c r="M167" s="1423"/>
      <c r="N167" s="1424" t="s">
        <v>116</v>
      </c>
      <c r="O167" s="1424"/>
      <c r="P167" s="1424"/>
      <c r="Q167" s="1424"/>
      <c r="R167" s="1424"/>
      <c r="S167" s="1424"/>
      <c r="T167" s="1424"/>
      <c r="U167" s="1424"/>
      <c r="V167" s="1424"/>
      <c r="W167" s="1424"/>
      <c r="X167" s="1424"/>
      <c r="Y167" s="1424"/>
      <c r="Z167" s="1424"/>
      <c r="AA167" s="1424"/>
      <c r="AB167" s="1424"/>
      <c r="AC167" s="327"/>
      <c r="AD167" s="327"/>
      <c r="AE167" s="327"/>
      <c r="AF167" s="327"/>
      <c r="AG167" s="327"/>
      <c r="AH167" s="327"/>
      <c r="AJ167" s="651"/>
    </row>
    <row r="168" spans="1:36" s="305" customFormat="1" ht="14.25" customHeight="1" x14ac:dyDescent="0.25">
      <c r="A168" s="327"/>
      <c r="B168" s="327"/>
      <c r="C168" s="327"/>
      <c r="D168" s="327"/>
      <c r="E168" s="327"/>
      <c r="F168" s="327"/>
      <c r="G168" s="1423" t="s">
        <v>117</v>
      </c>
      <c r="H168" s="1423"/>
      <c r="I168" s="1423"/>
      <c r="J168" s="1423"/>
      <c r="K168" s="1423"/>
      <c r="L168" s="1423"/>
      <c r="M168" s="1423"/>
      <c r="N168" s="1424" t="s">
        <v>118</v>
      </c>
      <c r="O168" s="1424"/>
      <c r="P168" s="1424"/>
      <c r="Q168" s="1424"/>
      <c r="R168" s="1424"/>
      <c r="S168" s="1424"/>
      <c r="T168" s="1424"/>
      <c r="U168" s="1424"/>
      <c r="V168" s="1424"/>
      <c r="W168" s="1424"/>
      <c r="X168" s="1424"/>
      <c r="Y168" s="1424"/>
      <c r="Z168" s="1424"/>
      <c r="AA168" s="1424"/>
      <c r="AB168" s="1424"/>
      <c r="AC168" s="327"/>
      <c r="AD168" s="327"/>
      <c r="AE168" s="327"/>
      <c r="AF168" s="327"/>
      <c r="AG168" s="327"/>
      <c r="AH168" s="327"/>
      <c r="AJ168" s="651"/>
    </row>
    <row r="169" spans="1:36" s="305" customFormat="1" ht="14.25" customHeight="1" x14ac:dyDescent="0.25">
      <c r="A169" s="327"/>
      <c r="B169" s="327"/>
      <c r="C169" s="327"/>
      <c r="D169" s="327"/>
      <c r="E169" s="327"/>
      <c r="F169" s="327"/>
      <c r="G169" s="1423" t="s">
        <v>119</v>
      </c>
      <c r="H169" s="1423"/>
      <c r="I169" s="1423"/>
      <c r="J169" s="1423"/>
      <c r="K169" s="1423"/>
      <c r="L169" s="1423"/>
      <c r="M169" s="1423"/>
      <c r="N169" s="1424" t="s">
        <v>120</v>
      </c>
      <c r="O169" s="1424"/>
      <c r="P169" s="1424"/>
      <c r="Q169" s="1424"/>
      <c r="R169" s="1424"/>
      <c r="S169" s="1424"/>
      <c r="T169" s="1424"/>
      <c r="U169" s="1424"/>
      <c r="V169" s="1424"/>
      <c r="W169" s="1424"/>
      <c r="X169" s="1424"/>
      <c r="Y169" s="1424"/>
      <c r="Z169" s="1424"/>
      <c r="AA169" s="1424"/>
      <c r="AB169" s="1424"/>
      <c r="AC169" s="327"/>
      <c r="AD169" s="327"/>
      <c r="AE169" s="327"/>
      <c r="AF169" s="327"/>
      <c r="AG169" s="327"/>
      <c r="AH169" s="327"/>
      <c r="AJ169" s="651"/>
    </row>
    <row r="170" spans="1:36" s="305" customFormat="1" ht="14.25" customHeight="1" x14ac:dyDescent="0.25">
      <c r="A170" s="327"/>
      <c r="B170" s="327"/>
      <c r="C170" s="327"/>
      <c r="D170" s="327"/>
      <c r="E170" s="327"/>
      <c r="F170" s="327"/>
      <c r="G170" s="1423" t="s">
        <v>98</v>
      </c>
      <c r="H170" s="1423"/>
      <c r="I170" s="1423"/>
      <c r="J170" s="1423"/>
      <c r="K170" s="1423"/>
      <c r="L170" s="1423"/>
      <c r="M170" s="1423"/>
      <c r="N170" s="1424" t="s">
        <v>121</v>
      </c>
      <c r="O170" s="1424"/>
      <c r="P170" s="1424"/>
      <c r="Q170" s="1424"/>
      <c r="R170" s="1424"/>
      <c r="S170" s="1424"/>
      <c r="T170" s="1424"/>
      <c r="U170" s="1424"/>
      <c r="V170" s="1424"/>
      <c r="W170" s="1424"/>
      <c r="X170" s="1424"/>
      <c r="Y170" s="1424"/>
      <c r="Z170" s="1424"/>
      <c r="AA170" s="1424"/>
      <c r="AB170" s="1424"/>
      <c r="AC170" s="327"/>
      <c r="AD170" s="327"/>
      <c r="AE170" s="327"/>
      <c r="AF170" s="327"/>
      <c r="AG170" s="327"/>
      <c r="AH170" s="327"/>
      <c r="AJ170" s="651"/>
    </row>
    <row r="171" spans="1:36" s="305" customFormat="1" ht="14.25" customHeight="1" x14ac:dyDescent="0.25">
      <c r="A171" s="327"/>
      <c r="B171" s="327"/>
      <c r="C171" s="327"/>
      <c r="D171" s="327"/>
      <c r="E171" s="327"/>
      <c r="F171" s="327"/>
      <c r="G171" s="1423" t="s">
        <v>122</v>
      </c>
      <c r="H171" s="1423"/>
      <c r="I171" s="1423"/>
      <c r="J171" s="1423"/>
      <c r="K171" s="1423"/>
      <c r="L171" s="1423"/>
      <c r="M171" s="1423"/>
      <c r="N171" s="1424" t="s">
        <v>123</v>
      </c>
      <c r="O171" s="1424"/>
      <c r="P171" s="1424"/>
      <c r="Q171" s="1424"/>
      <c r="R171" s="1424"/>
      <c r="S171" s="1424"/>
      <c r="T171" s="1424"/>
      <c r="U171" s="1424"/>
      <c r="V171" s="1424"/>
      <c r="W171" s="1424"/>
      <c r="X171" s="1424"/>
      <c r="Y171" s="1424"/>
      <c r="Z171" s="1424"/>
      <c r="AA171" s="1424"/>
      <c r="AB171" s="1424"/>
      <c r="AC171" s="327"/>
      <c r="AD171" s="327"/>
      <c r="AE171" s="327"/>
      <c r="AF171" s="327"/>
      <c r="AG171" s="327"/>
      <c r="AH171" s="327"/>
      <c r="AJ171" s="651"/>
    </row>
    <row r="172" spans="1:36" s="305" customFormat="1" ht="14.25" customHeight="1" x14ac:dyDescent="0.25">
      <c r="A172" s="327"/>
      <c r="B172" s="327"/>
      <c r="C172" s="327"/>
      <c r="D172" s="327"/>
      <c r="E172" s="327"/>
      <c r="F172" s="327"/>
      <c r="G172" s="1423" t="s">
        <v>124</v>
      </c>
      <c r="H172" s="1423"/>
      <c r="I172" s="1423"/>
      <c r="J172" s="1423"/>
      <c r="K172" s="1423"/>
      <c r="L172" s="1423"/>
      <c r="M172" s="1423"/>
      <c r="N172" s="1424" t="s">
        <v>125</v>
      </c>
      <c r="O172" s="1424"/>
      <c r="P172" s="1424"/>
      <c r="Q172" s="1424"/>
      <c r="R172" s="1424"/>
      <c r="S172" s="1424"/>
      <c r="T172" s="1424"/>
      <c r="U172" s="1424"/>
      <c r="V172" s="1424"/>
      <c r="W172" s="1424"/>
      <c r="X172" s="1424"/>
      <c r="Y172" s="1424"/>
      <c r="Z172" s="1424"/>
      <c r="AA172" s="1424"/>
      <c r="AB172" s="1424"/>
      <c r="AC172" s="327"/>
      <c r="AD172" s="327"/>
      <c r="AE172" s="327"/>
      <c r="AF172" s="327"/>
      <c r="AG172" s="327"/>
      <c r="AH172" s="327"/>
      <c r="AJ172" s="651"/>
    </row>
    <row r="173" spans="1:36" s="305" customFormat="1" ht="14.25" customHeight="1" x14ac:dyDescent="0.25">
      <c r="A173" s="327"/>
      <c r="B173" s="327"/>
      <c r="C173" s="327"/>
      <c r="D173" s="327"/>
      <c r="E173" s="327"/>
      <c r="F173" s="327"/>
      <c r="G173" s="1423"/>
      <c r="H173" s="1423"/>
      <c r="I173" s="1423"/>
      <c r="J173" s="1423"/>
      <c r="K173" s="1423"/>
      <c r="L173" s="1423"/>
      <c r="M173" s="1423"/>
      <c r="N173" s="1424"/>
      <c r="O173" s="1424"/>
      <c r="P173" s="1424"/>
      <c r="Q173" s="1424"/>
      <c r="R173" s="1424"/>
      <c r="S173" s="1424"/>
      <c r="T173" s="1424"/>
      <c r="U173" s="1424"/>
      <c r="V173" s="1424"/>
      <c r="W173" s="1424"/>
      <c r="X173" s="1424"/>
      <c r="Y173" s="1424"/>
      <c r="Z173" s="1424"/>
      <c r="AA173" s="1424"/>
      <c r="AB173" s="1424"/>
      <c r="AC173" s="327"/>
      <c r="AD173" s="327"/>
      <c r="AE173" s="327"/>
      <c r="AF173" s="327"/>
      <c r="AG173" s="327"/>
      <c r="AH173" s="327"/>
      <c r="AJ173" s="651"/>
    </row>
    <row r="174" spans="1:36" s="305" customFormat="1" ht="14.25" customHeight="1" x14ac:dyDescent="0.25">
      <c r="A174" s="327"/>
      <c r="B174" s="327"/>
      <c r="C174" s="327"/>
      <c r="D174" s="327"/>
      <c r="E174" s="327"/>
      <c r="F174" s="327"/>
      <c r="G174" s="1423"/>
      <c r="H174" s="1423"/>
      <c r="I174" s="1423"/>
      <c r="J174" s="1423"/>
      <c r="K174" s="1423"/>
      <c r="L174" s="1423"/>
      <c r="M174" s="1423"/>
      <c r="N174" s="1424"/>
      <c r="O174" s="1424"/>
      <c r="P174" s="1424"/>
      <c r="Q174" s="1424"/>
      <c r="R174" s="1424"/>
      <c r="S174" s="1424"/>
      <c r="T174" s="1424"/>
      <c r="U174" s="1424"/>
      <c r="V174" s="1424"/>
      <c r="W174" s="1424"/>
      <c r="X174" s="1424"/>
      <c r="Y174" s="1424"/>
      <c r="Z174" s="1424"/>
      <c r="AA174" s="1424"/>
      <c r="AB174" s="1424"/>
      <c r="AC174" s="327"/>
      <c r="AD174" s="327"/>
      <c r="AE174" s="327"/>
      <c r="AF174" s="327"/>
      <c r="AG174" s="327"/>
      <c r="AH174" s="327"/>
      <c r="AJ174" s="651"/>
    </row>
    <row r="175" spans="1:36" s="305" customFormat="1" ht="14.25" customHeight="1" x14ac:dyDescent="0.25">
      <c r="A175" s="327"/>
      <c r="B175" s="327"/>
      <c r="C175" s="327"/>
      <c r="D175" s="327"/>
      <c r="E175" s="327"/>
      <c r="F175" s="327"/>
      <c r="G175" s="1423" t="s">
        <v>100</v>
      </c>
      <c r="H175" s="1423"/>
      <c r="I175" s="1423"/>
      <c r="J175" s="1423"/>
      <c r="K175" s="1423"/>
      <c r="L175" s="1423"/>
      <c r="M175" s="1423"/>
      <c r="N175" s="1424" t="s">
        <v>126</v>
      </c>
      <c r="O175" s="1424"/>
      <c r="P175" s="1424"/>
      <c r="Q175" s="1424"/>
      <c r="R175" s="1424"/>
      <c r="S175" s="1424"/>
      <c r="T175" s="1424"/>
      <c r="U175" s="1424"/>
      <c r="V175" s="1424"/>
      <c r="W175" s="1424"/>
      <c r="X175" s="1424"/>
      <c r="Y175" s="1424"/>
      <c r="Z175" s="1424"/>
      <c r="AA175" s="1424"/>
      <c r="AB175" s="1424"/>
      <c r="AC175" s="327"/>
      <c r="AD175" s="327"/>
      <c r="AE175" s="327"/>
      <c r="AF175" s="327"/>
      <c r="AG175" s="327"/>
      <c r="AH175" s="327"/>
      <c r="AJ175" s="651"/>
    </row>
    <row r="176" spans="1:36" s="305" customFormat="1" ht="14.25" customHeight="1" x14ac:dyDescent="0.25">
      <c r="A176" s="327"/>
      <c r="B176" s="327"/>
      <c r="C176" s="327"/>
      <c r="D176" s="327"/>
      <c r="E176" s="327"/>
      <c r="F176" s="327"/>
      <c r="G176" s="1423"/>
      <c r="H176" s="1423"/>
      <c r="I176" s="1423"/>
      <c r="J176" s="1423"/>
      <c r="K176" s="1423"/>
      <c r="L176" s="1423"/>
      <c r="M176" s="1423"/>
      <c r="N176" s="1424"/>
      <c r="O176" s="1424"/>
      <c r="P176" s="1424"/>
      <c r="Q176" s="1424"/>
      <c r="R176" s="1424"/>
      <c r="S176" s="1424"/>
      <c r="T176" s="1424"/>
      <c r="U176" s="1424"/>
      <c r="V176" s="1424"/>
      <c r="W176" s="1424"/>
      <c r="X176" s="1424"/>
      <c r="Y176" s="1424"/>
      <c r="Z176" s="1424"/>
      <c r="AA176" s="1424"/>
      <c r="AB176" s="1424"/>
      <c r="AC176" s="327"/>
      <c r="AD176" s="327"/>
      <c r="AE176" s="327"/>
      <c r="AF176" s="327"/>
      <c r="AG176" s="327"/>
      <c r="AH176" s="327"/>
      <c r="AJ176" s="651"/>
    </row>
    <row r="177" spans="1:51" s="305" customFormat="1" ht="14.25" customHeight="1" x14ac:dyDescent="0.25">
      <c r="A177" s="327"/>
      <c r="B177" s="327"/>
      <c r="C177" s="327"/>
      <c r="D177" s="327"/>
      <c r="E177" s="327"/>
      <c r="F177" s="327"/>
      <c r="G177" s="1423" t="s">
        <v>127</v>
      </c>
      <c r="H177" s="1423"/>
      <c r="I177" s="1423"/>
      <c r="J177" s="1423"/>
      <c r="K177" s="1423"/>
      <c r="L177" s="1423"/>
      <c r="M177" s="1423"/>
      <c r="N177" s="1462">
        <v>1.33</v>
      </c>
      <c r="O177" s="1424"/>
      <c r="P177" s="1424"/>
      <c r="Q177" s="1424"/>
      <c r="R177" s="1424"/>
      <c r="S177" s="1424"/>
      <c r="T177" s="1424"/>
      <c r="U177" s="1424"/>
      <c r="V177" s="1424"/>
      <c r="W177" s="1424"/>
      <c r="X177" s="1424"/>
      <c r="Y177" s="1424"/>
      <c r="Z177" s="1424"/>
      <c r="AA177" s="1424"/>
      <c r="AB177" s="1424"/>
      <c r="AC177" s="327"/>
      <c r="AD177" s="327"/>
      <c r="AE177" s="327"/>
      <c r="AF177" s="327"/>
      <c r="AG177" s="327"/>
      <c r="AH177" s="327"/>
      <c r="AJ177" s="651"/>
    </row>
    <row r="178" spans="1:51" s="305" customFormat="1" ht="14.25" customHeight="1" x14ac:dyDescent="0.25">
      <c r="A178" s="327"/>
      <c r="B178" s="327"/>
      <c r="C178" s="327"/>
      <c r="D178" s="327"/>
      <c r="E178" s="327"/>
      <c r="F178" s="327"/>
      <c r="G178" s="1423" t="s">
        <v>102</v>
      </c>
      <c r="H178" s="1423"/>
      <c r="I178" s="1423"/>
      <c r="J178" s="1423"/>
      <c r="K178" s="1423"/>
      <c r="L178" s="1423"/>
      <c r="M178" s="1423"/>
      <c r="N178" s="1424" t="s">
        <v>103</v>
      </c>
      <c r="O178" s="1424"/>
      <c r="P178" s="1424"/>
      <c r="Q178" s="1424"/>
      <c r="R178" s="1424"/>
      <c r="S178" s="1424"/>
      <c r="T178" s="1424"/>
      <c r="U178" s="1424"/>
      <c r="V178" s="1424"/>
      <c r="W178" s="1424"/>
      <c r="X178" s="1424"/>
      <c r="Y178" s="1424"/>
      <c r="Z178" s="1424"/>
      <c r="AA178" s="1424"/>
      <c r="AB178" s="1424"/>
      <c r="AC178" s="327"/>
      <c r="AD178" s="327"/>
      <c r="AE178" s="327"/>
      <c r="AF178" s="327"/>
      <c r="AG178" s="327"/>
      <c r="AH178" s="327"/>
      <c r="AJ178" s="651"/>
    </row>
    <row r="179" spans="1:51" s="305" customFormat="1" ht="14.25" customHeight="1" x14ac:dyDescent="0.25">
      <c r="A179" s="327"/>
      <c r="B179" s="327"/>
      <c r="C179" s="327"/>
      <c r="D179" s="327"/>
      <c r="E179" s="327"/>
      <c r="F179" s="327"/>
      <c r="G179" s="1423"/>
      <c r="H179" s="1423"/>
      <c r="I179" s="1423"/>
      <c r="J179" s="1423"/>
      <c r="K179" s="1423"/>
      <c r="L179" s="1423"/>
      <c r="M179" s="1423"/>
      <c r="N179" s="1424"/>
      <c r="O179" s="1424"/>
      <c r="P179" s="1424"/>
      <c r="Q179" s="1424"/>
      <c r="R179" s="1424"/>
      <c r="S179" s="1424"/>
      <c r="T179" s="1424"/>
      <c r="U179" s="1424"/>
      <c r="V179" s="1424"/>
      <c r="W179" s="1424"/>
      <c r="X179" s="1424"/>
      <c r="Y179" s="1424"/>
      <c r="Z179" s="1424"/>
      <c r="AA179" s="1424"/>
      <c r="AB179" s="1424"/>
      <c r="AC179" s="327"/>
      <c r="AD179" s="327"/>
      <c r="AE179" s="327"/>
      <c r="AF179" s="327"/>
      <c r="AG179" s="327"/>
      <c r="AH179" s="327"/>
      <c r="AJ179" s="651"/>
    </row>
    <row r="180" spans="1:51" s="305" customFormat="1" ht="14.25" customHeight="1" x14ac:dyDescent="0.25">
      <c r="A180" s="327"/>
      <c r="B180" s="327"/>
      <c r="C180" s="327"/>
      <c r="D180" s="327"/>
      <c r="E180" s="327"/>
      <c r="F180" s="327"/>
      <c r="G180" s="1423"/>
      <c r="H180" s="1423"/>
      <c r="I180" s="1423"/>
      <c r="J180" s="1423"/>
      <c r="K180" s="1423"/>
      <c r="L180" s="1423"/>
      <c r="M180" s="1423"/>
      <c r="N180" s="1424"/>
      <c r="O180" s="1424"/>
      <c r="P180" s="1424"/>
      <c r="Q180" s="1424"/>
      <c r="R180" s="1424"/>
      <c r="S180" s="1424"/>
      <c r="T180" s="1424"/>
      <c r="U180" s="1424"/>
      <c r="V180" s="1424"/>
      <c r="W180" s="1424"/>
      <c r="X180" s="1424"/>
      <c r="Y180" s="1424"/>
      <c r="Z180" s="1424"/>
      <c r="AA180" s="1424"/>
      <c r="AB180" s="1424"/>
      <c r="AC180" s="327"/>
      <c r="AD180" s="327"/>
      <c r="AE180" s="327"/>
      <c r="AF180" s="327"/>
      <c r="AG180" s="327"/>
      <c r="AH180" s="327"/>
      <c r="AJ180" s="651"/>
    </row>
    <row r="181" spans="1:51" s="305" customFormat="1" ht="12" customHeight="1" x14ac:dyDescent="0.25">
      <c r="A181" s="1425" t="s">
        <v>106</v>
      </c>
      <c r="B181" s="1425"/>
      <c r="C181" s="1425"/>
      <c r="D181" s="1425"/>
      <c r="E181" s="1425"/>
      <c r="F181" s="1425"/>
      <c r="G181" s="1425"/>
      <c r="H181" s="1425"/>
      <c r="I181" s="1425"/>
      <c r="J181" s="1425"/>
      <c r="K181" s="1425"/>
      <c r="L181" s="1425"/>
      <c r="M181" s="1425"/>
      <c r="N181" s="1425"/>
      <c r="O181" s="1425"/>
      <c r="P181" s="1425"/>
      <c r="Q181" s="1425"/>
      <c r="R181" s="1425"/>
      <c r="S181" s="1425"/>
      <c r="T181" s="1425"/>
      <c r="U181" s="1425"/>
      <c r="V181" s="1425"/>
      <c r="W181" s="1425"/>
      <c r="X181" s="1425"/>
      <c r="Y181" s="1425"/>
      <c r="Z181" s="1425"/>
      <c r="AA181" s="1425"/>
      <c r="AB181" s="1425"/>
      <c r="AC181" s="1425"/>
      <c r="AD181" s="1425"/>
      <c r="AE181" s="1425"/>
      <c r="AF181" s="1425"/>
      <c r="AG181" s="1425"/>
      <c r="AH181" s="1425"/>
      <c r="AJ181" s="651"/>
    </row>
    <row r="182" spans="1:51" s="308" customFormat="1" ht="11.25" customHeight="1" x14ac:dyDescent="0.25">
      <c r="A182" s="326"/>
      <c r="B182" s="326"/>
      <c r="C182" s="326"/>
      <c r="D182" s="326"/>
      <c r="E182" s="326"/>
      <c r="F182" s="326"/>
      <c r="G182" s="326"/>
      <c r="H182" s="326"/>
      <c r="I182" s="326"/>
      <c r="J182" s="326"/>
      <c r="K182" s="326"/>
      <c r="L182" s="326"/>
      <c r="M182" s="326"/>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J182" s="508"/>
      <c r="AK182" s="307"/>
      <c r="AL182" s="307"/>
      <c r="AM182" s="307"/>
      <c r="AN182" s="307"/>
      <c r="AO182" s="307"/>
      <c r="AP182" s="307"/>
      <c r="AQ182" s="307"/>
      <c r="AR182" s="307"/>
      <c r="AS182" s="307"/>
      <c r="AT182" s="307"/>
      <c r="AU182" s="307"/>
      <c r="AV182" s="307"/>
      <c r="AW182" s="307"/>
      <c r="AX182" s="307"/>
      <c r="AY182" s="307"/>
    </row>
    <row r="183" spans="1:51" s="305" customFormat="1" ht="15" customHeight="1" x14ac:dyDescent="0.25">
      <c r="A183" s="1455" t="s">
        <v>128</v>
      </c>
      <c r="B183" s="1455"/>
      <c r="C183" s="1455"/>
      <c r="D183" s="1455"/>
      <c r="E183" s="1455"/>
      <c r="F183" s="1455"/>
      <c r="G183" s="1455"/>
      <c r="H183" s="1455"/>
      <c r="I183" s="1455"/>
      <c r="J183" s="1455"/>
      <c r="K183" s="1455"/>
      <c r="L183" s="1455"/>
      <c r="M183" s="1455"/>
      <c r="N183" s="1455"/>
      <c r="O183" s="1455"/>
      <c r="P183" s="1455"/>
      <c r="Q183" s="1455"/>
      <c r="R183" s="1455"/>
      <c r="S183" s="1455"/>
      <c r="T183" s="1455"/>
      <c r="U183" s="1455"/>
      <c r="V183" s="1455"/>
      <c r="W183" s="1455"/>
      <c r="X183" s="1455"/>
      <c r="Y183" s="1455"/>
      <c r="Z183" s="1455"/>
      <c r="AA183" s="1455"/>
      <c r="AB183" s="1455"/>
      <c r="AC183" s="1455"/>
      <c r="AD183" s="1455"/>
      <c r="AE183" s="1455"/>
      <c r="AF183" s="1455"/>
      <c r="AG183" s="1455"/>
      <c r="AH183" s="1455"/>
      <c r="AJ183" s="651"/>
    </row>
    <row r="184" spans="1:51" s="308" customFormat="1" ht="11.25" customHeight="1" x14ac:dyDescent="0.25">
      <c r="A184" s="326"/>
      <c r="B184" s="326"/>
      <c r="C184" s="326"/>
      <c r="D184" s="326"/>
      <c r="E184" s="326"/>
      <c r="F184" s="326"/>
      <c r="G184" s="326"/>
      <c r="H184" s="326"/>
      <c r="I184" s="326"/>
      <c r="J184" s="326"/>
      <c r="K184" s="326"/>
      <c r="L184" s="326"/>
      <c r="M184" s="326"/>
      <c r="N184" s="326"/>
      <c r="O184" s="326"/>
      <c r="P184" s="326"/>
      <c r="Q184" s="326"/>
      <c r="R184" s="326"/>
      <c r="S184" s="326"/>
      <c r="T184" s="326"/>
      <c r="U184" s="326"/>
      <c r="V184" s="326"/>
      <c r="W184" s="326"/>
      <c r="X184" s="326"/>
      <c r="Y184" s="326"/>
      <c r="Z184" s="326"/>
      <c r="AA184" s="326"/>
      <c r="AB184" s="326"/>
      <c r="AC184" s="326"/>
      <c r="AD184" s="326"/>
      <c r="AE184" s="326"/>
      <c r="AF184" s="326"/>
      <c r="AG184" s="326"/>
      <c r="AH184" s="326"/>
      <c r="AJ184" s="508"/>
      <c r="AK184" s="307"/>
      <c r="AL184" s="307"/>
      <c r="AM184" s="307"/>
      <c r="AN184" s="307"/>
      <c r="AO184" s="307"/>
      <c r="AP184" s="307"/>
      <c r="AQ184" s="307"/>
      <c r="AR184" s="307"/>
      <c r="AS184" s="307"/>
      <c r="AT184" s="307"/>
      <c r="AU184" s="307"/>
      <c r="AV184" s="307"/>
      <c r="AW184" s="307"/>
      <c r="AX184" s="307"/>
      <c r="AY184" s="307"/>
    </row>
    <row r="185" spans="1:51" s="308" customFormat="1" ht="14.25" customHeight="1" x14ac:dyDescent="0.25">
      <c r="A185" s="1454" t="s">
        <v>129</v>
      </c>
      <c r="B185" s="1454"/>
      <c r="C185" s="1454"/>
      <c r="D185" s="1454"/>
      <c r="E185" s="1454"/>
      <c r="F185" s="1454"/>
      <c r="G185" s="1454"/>
      <c r="H185" s="1454"/>
      <c r="I185" s="1454"/>
      <c r="J185" s="1454"/>
      <c r="K185" s="1454"/>
      <c r="L185" s="1454"/>
      <c r="M185" s="1454"/>
      <c r="N185" s="1454"/>
      <c r="O185" s="1454"/>
      <c r="P185" s="1454"/>
      <c r="Q185" s="1454"/>
      <c r="R185" s="1454"/>
      <c r="S185" s="1454"/>
      <c r="T185" s="1454"/>
      <c r="U185" s="1454"/>
      <c r="V185" s="1454"/>
      <c r="W185" s="1454"/>
      <c r="X185" s="1454"/>
      <c r="Y185" s="1454"/>
      <c r="Z185" s="1454"/>
      <c r="AA185" s="1454"/>
      <c r="AB185" s="1454"/>
      <c r="AC185" s="1454"/>
      <c r="AD185" s="1454"/>
      <c r="AE185" s="1454"/>
      <c r="AF185" s="1454"/>
      <c r="AG185" s="1454"/>
      <c r="AH185" s="1454"/>
      <c r="AJ185" s="512"/>
    </row>
    <row r="186" spans="1:51" s="308" customFormat="1" ht="11.25" customHeight="1" x14ac:dyDescent="0.25">
      <c r="A186" s="326"/>
      <c r="B186" s="326"/>
      <c r="C186" s="326"/>
      <c r="D186" s="326"/>
      <c r="E186" s="326"/>
      <c r="F186" s="326"/>
      <c r="G186" s="326"/>
      <c r="H186" s="326"/>
      <c r="I186" s="326"/>
      <c r="J186" s="326"/>
      <c r="K186" s="326"/>
      <c r="L186" s="326"/>
      <c r="M186" s="326"/>
      <c r="N186" s="326"/>
      <c r="O186" s="326"/>
      <c r="P186" s="326"/>
      <c r="Q186" s="326"/>
      <c r="R186" s="326"/>
      <c r="S186" s="326"/>
      <c r="T186" s="326"/>
      <c r="U186" s="326"/>
      <c r="V186" s="326"/>
      <c r="W186" s="326"/>
      <c r="X186" s="326"/>
      <c r="Y186" s="326"/>
      <c r="Z186" s="326"/>
      <c r="AA186" s="326"/>
      <c r="AB186" s="326"/>
      <c r="AC186" s="326"/>
      <c r="AD186" s="326"/>
      <c r="AE186" s="326"/>
      <c r="AF186" s="326"/>
      <c r="AG186" s="326"/>
      <c r="AH186" s="326"/>
      <c r="AJ186" s="508"/>
      <c r="AK186" s="307"/>
      <c r="AL186" s="307"/>
      <c r="AM186" s="307"/>
      <c r="AN186" s="307"/>
      <c r="AO186" s="307"/>
      <c r="AP186" s="307"/>
      <c r="AQ186" s="307"/>
      <c r="AR186" s="307"/>
      <c r="AS186" s="307"/>
      <c r="AT186" s="307"/>
      <c r="AU186" s="307"/>
      <c r="AV186" s="307"/>
      <c r="AW186" s="307"/>
      <c r="AX186" s="307"/>
      <c r="AY186" s="307"/>
    </row>
    <row r="187" spans="1:51" s="308" customFormat="1" ht="42" customHeight="1" x14ac:dyDescent="0.25">
      <c r="A187" s="1463" t="s">
        <v>130</v>
      </c>
      <c r="B187" s="1463"/>
      <c r="C187" s="1463"/>
      <c r="D187" s="1463"/>
      <c r="E187" s="1463"/>
      <c r="F187" s="1463"/>
      <c r="G187" s="1463"/>
      <c r="H187" s="1463"/>
      <c r="I187" s="1463"/>
      <c r="J187" s="1463"/>
      <c r="K187" s="1463"/>
      <c r="L187" s="1463"/>
      <c r="M187" s="1463"/>
      <c r="N187" s="1463"/>
      <c r="O187" s="1463"/>
      <c r="P187" s="1463"/>
      <c r="Q187" s="1463"/>
      <c r="R187" s="1463"/>
      <c r="S187" s="1463"/>
      <c r="T187" s="1463"/>
      <c r="U187" s="1463"/>
      <c r="V187" s="1463"/>
      <c r="W187" s="1463"/>
      <c r="X187" s="1463"/>
      <c r="Y187" s="1463"/>
      <c r="Z187" s="1463"/>
      <c r="AA187" s="1463"/>
      <c r="AB187" s="1463"/>
      <c r="AC187" s="1463"/>
      <c r="AD187" s="1463"/>
      <c r="AE187" s="1463"/>
      <c r="AF187" s="1463"/>
      <c r="AG187" s="1463"/>
      <c r="AH187" s="1463"/>
      <c r="AJ187" s="512"/>
    </row>
    <row r="188" spans="1:51" s="308" customFormat="1" ht="11.25" customHeight="1" x14ac:dyDescent="0.25">
      <c r="A188" s="326"/>
      <c r="B188" s="326"/>
      <c r="C188" s="326"/>
      <c r="D188" s="326"/>
      <c r="E188" s="326"/>
      <c r="F188" s="326"/>
      <c r="G188" s="326"/>
      <c r="H188" s="326"/>
      <c r="I188" s="326"/>
      <c r="J188" s="326"/>
      <c r="K188" s="326"/>
      <c r="L188" s="326"/>
      <c r="M188" s="326"/>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J188" s="508"/>
      <c r="AK188" s="307"/>
      <c r="AL188" s="307"/>
      <c r="AM188" s="307"/>
      <c r="AN188" s="307"/>
      <c r="AO188" s="307"/>
      <c r="AP188" s="307"/>
      <c r="AQ188" s="307"/>
      <c r="AR188" s="307"/>
      <c r="AS188" s="307"/>
      <c r="AT188" s="307"/>
      <c r="AU188" s="307"/>
      <c r="AV188" s="307"/>
      <c r="AW188" s="307"/>
      <c r="AX188" s="307"/>
      <c r="AY188" s="307"/>
    </row>
    <row r="189" spans="1:51" s="308" customFormat="1" ht="14.25" customHeight="1" x14ac:dyDescent="0.25">
      <c r="A189" s="1463" t="s">
        <v>131</v>
      </c>
      <c r="B189" s="1463"/>
      <c r="C189" s="1463"/>
      <c r="D189" s="1463"/>
      <c r="E189" s="1463"/>
      <c r="F189" s="1463"/>
      <c r="G189" s="1463"/>
      <c r="H189" s="1463"/>
      <c r="I189" s="1463"/>
      <c r="J189" s="1463"/>
      <c r="K189" s="1463"/>
      <c r="L189" s="1463"/>
      <c r="M189" s="1463"/>
      <c r="N189" s="1463"/>
      <c r="O189" s="1463"/>
      <c r="P189" s="1463"/>
      <c r="Q189" s="1463"/>
      <c r="R189" s="1463"/>
      <c r="S189" s="1463"/>
      <c r="T189" s="1463"/>
      <c r="U189" s="1463"/>
      <c r="V189" s="1463"/>
      <c r="W189" s="1463"/>
      <c r="X189" s="1463"/>
      <c r="Y189" s="1463"/>
      <c r="Z189" s="1463"/>
      <c r="AA189" s="1463"/>
      <c r="AB189" s="1463"/>
      <c r="AC189" s="1463"/>
      <c r="AD189" s="1463"/>
      <c r="AE189" s="1463"/>
      <c r="AF189" s="1463"/>
      <c r="AG189" s="1463"/>
      <c r="AH189" s="1463"/>
      <c r="AJ189" s="512"/>
    </row>
    <row r="190" spans="1:51" s="308" customFormat="1" ht="11.25" customHeight="1" x14ac:dyDescent="0.25">
      <c r="A190" s="326"/>
      <c r="B190" s="326"/>
      <c r="C190" s="326"/>
      <c r="D190" s="326"/>
      <c r="E190" s="326"/>
      <c r="F190" s="326"/>
      <c r="G190" s="326"/>
      <c r="H190" s="326"/>
      <c r="I190" s="326"/>
      <c r="J190" s="326"/>
      <c r="K190" s="326"/>
      <c r="L190" s="326"/>
      <c r="M190" s="326"/>
      <c r="N190" s="326"/>
      <c r="O190" s="326"/>
      <c r="P190" s="326"/>
      <c r="Q190" s="326"/>
      <c r="R190" s="326"/>
      <c r="S190" s="326"/>
      <c r="T190" s="326"/>
      <c r="U190" s="326"/>
      <c r="V190" s="326"/>
      <c r="W190" s="326"/>
      <c r="X190" s="326"/>
      <c r="Y190" s="326"/>
      <c r="Z190" s="326"/>
      <c r="AA190" s="326"/>
      <c r="AB190" s="326"/>
      <c r="AC190" s="326"/>
      <c r="AD190" s="326"/>
      <c r="AE190" s="326"/>
      <c r="AF190" s="326"/>
      <c r="AG190" s="326"/>
      <c r="AH190" s="326"/>
      <c r="AJ190" s="508"/>
      <c r="AK190" s="307"/>
      <c r="AL190" s="307"/>
      <c r="AM190" s="307"/>
      <c r="AN190" s="307"/>
      <c r="AO190" s="307"/>
      <c r="AP190" s="307"/>
      <c r="AQ190" s="307"/>
      <c r="AR190" s="307"/>
      <c r="AS190" s="307"/>
      <c r="AT190" s="307"/>
      <c r="AU190" s="307"/>
      <c r="AV190" s="307"/>
      <c r="AW190" s="307"/>
      <c r="AX190" s="307"/>
      <c r="AY190" s="307"/>
    </row>
    <row r="191" spans="1:51" ht="13.5" customHeight="1" x14ac:dyDescent="0.25">
      <c r="A191" s="1455" t="s">
        <v>132</v>
      </c>
      <c r="B191" s="1455"/>
      <c r="C191" s="1455"/>
      <c r="D191" s="1455"/>
      <c r="E191" s="1455"/>
      <c r="F191" s="1455"/>
      <c r="G191" s="1455"/>
      <c r="H191" s="1455"/>
      <c r="I191" s="1455"/>
      <c r="J191" s="1455"/>
      <c r="K191" s="1455"/>
      <c r="L191" s="1455"/>
      <c r="M191" s="1455"/>
      <c r="N191" s="1455"/>
      <c r="O191" s="1455"/>
      <c r="P191" s="1455"/>
      <c r="Q191" s="1455"/>
      <c r="R191" s="1455"/>
      <c r="S191" s="1455"/>
      <c r="T191" s="1455"/>
      <c r="U191" s="1455"/>
      <c r="V191" s="1455"/>
      <c r="W191" s="1455"/>
      <c r="X191" s="1455"/>
      <c r="Y191" s="1455"/>
      <c r="Z191" s="1455"/>
      <c r="AA191" s="1455"/>
      <c r="AB191" s="1455"/>
      <c r="AC191" s="1455"/>
      <c r="AD191" s="1455"/>
      <c r="AE191" s="1455"/>
      <c r="AF191" s="1455"/>
      <c r="AG191" s="1455"/>
      <c r="AH191" s="1455"/>
      <c r="AJ191" s="652"/>
    </row>
    <row r="192" spans="1:51" s="308" customFormat="1" ht="11.25" customHeight="1" x14ac:dyDescent="0.25">
      <c r="A192" s="326"/>
      <c r="B192" s="326"/>
      <c r="C192" s="326"/>
      <c r="D192" s="326"/>
      <c r="E192" s="326"/>
      <c r="F192" s="326"/>
      <c r="G192" s="326"/>
      <c r="H192" s="326"/>
      <c r="I192" s="326"/>
      <c r="J192" s="326"/>
      <c r="K192" s="326"/>
      <c r="L192" s="326"/>
      <c r="M192" s="326"/>
      <c r="N192" s="326"/>
      <c r="O192" s="326"/>
      <c r="P192" s="326"/>
      <c r="Q192" s="326"/>
      <c r="R192" s="326"/>
      <c r="S192" s="326"/>
      <c r="T192" s="326"/>
      <c r="U192" s="326"/>
      <c r="V192" s="326"/>
      <c r="W192" s="326"/>
      <c r="X192" s="326"/>
      <c r="Y192" s="326"/>
      <c r="Z192" s="326"/>
      <c r="AA192" s="326"/>
      <c r="AB192" s="326"/>
      <c r="AC192" s="326"/>
      <c r="AD192" s="326"/>
      <c r="AE192" s="326"/>
      <c r="AF192" s="326"/>
      <c r="AG192" s="326"/>
      <c r="AH192" s="326"/>
      <c r="AJ192" s="508"/>
      <c r="AK192" s="307"/>
      <c r="AL192" s="307"/>
      <c r="AM192" s="307"/>
      <c r="AN192" s="307"/>
      <c r="AO192" s="307"/>
      <c r="AP192" s="307"/>
      <c r="AQ192" s="307"/>
      <c r="AR192" s="307"/>
      <c r="AS192" s="307"/>
      <c r="AT192" s="307"/>
      <c r="AU192" s="307"/>
      <c r="AV192" s="307"/>
      <c r="AW192" s="307"/>
      <c r="AX192" s="307"/>
      <c r="AY192" s="307"/>
    </row>
    <row r="193" spans="1:51" s="308" customFormat="1" ht="27.75" customHeight="1" x14ac:dyDescent="0.25">
      <c r="A193" s="1454" t="s">
        <v>133</v>
      </c>
      <c r="B193" s="1454"/>
      <c r="C193" s="1454"/>
      <c r="D193" s="1454"/>
      <c r="E193" s="1454"/>
      <c r="F193" s="1454"/>
      <c r="G193" s="1454"/>
      <c r="H193" s="1454"/>
      <c r="I193" s="1454"/>
      <c r="J193" s="1454"/>
      <c r="K193" s="1454"/>
      <c r="L193" s="1454"/>
      <c r="M193" s="1454"/>
      <c r="N193" s="1454"/>
      <c r="O193" s="1454"/>
      <c r="P193" s="1454"/>
      <c r="Q193" s="1454"/>
      <c r="R193" s="1454"/>
      <c r="S193" s="1454"/>
      <c r="T193" s="1454"/>
      <c r="U193" s="1454"/>
      <c r="V193" s="1454"/>
      <c r="W193" s="1454"/>
      <c r="X193" s="1454"/>
      <c r="Y193" s="1454"/>
      <c r="Z193" s="1454"/>
      <c r="AA193" s="1454"/>
      <c r="AB193" s="1454"/>
      <c r="AC193" s="1454"/>
      <c r="AD193" s="1454"/>
      <c r="AE193" s="1454"/>
      <c r="AF193" s="1454"/>
      <c r="AG193" s="1454"/>
      <c r="AH193" s="1454"/>
      <c r="AJ193" s="512"/>
    </row>
    <row r="194" spans="1:51" s="308" customFormat="1" ht="11.25" customHeight="1" x14ac:dyDescent="0.25">
      <c r="A194" s="326"/>
      <c r="B194" s="326"/>
      <c r="C194" s="326"/>
      <c r="D194" s="326"/>
      <c r="E194" s="326"/>
      <c r="F194" s="326"/>
      <c r="G194" s="326"/>
      <c r="H194" s="326"/>
      <c r="I194" s="326"/>
      <c r="J194" s="326"/>
      <c r="K194" s="326"/>
      <c r="L194" s="326"/>
      <c r="M194" s="326"/>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J194" s="508"/>
      <c r="AK194" s="307"/>
      <c r="AL194" s="307"/>
      <c r="AM194" s="307"/>
      <c r="AN194" s="307"/>
      <c r="AO194" s="307"/>
      <c r="AP194" s="307"/>
      <c r="AQ194" s="307"/>
      <c r="AR194" s="307"/>
      <c r="AS194" s="307"/>
      <c r="AT194" s="307"/>
      <c r="AU194" s="307"/>
      <c r="AV194" s="307"/>
      <c r="AW194" s="307"/>
      <c r="AX194" s="307"/>
      <c r="AY194" s="307"/>
    </row>
    <row r="195" spans="1:51" ht="13.5" customHeight="1" x14ac:dyDescent="0.25">
      <c r="A195" s="1455" t="s">
        <v>134</v>
      </c>
      <c r="B195" s="1455"/>
      <c r="C195" s="1455"/>
      <c r="D195" s="1455"/>
      <c r="E195" s="1455"/>
      <c r="F195" s="1455"/>
      <c r="G195" s="1455"/>
      <c r="H195" s="1455"/>
      <c r="I195" s="1455"/>
      <c r="J195" s="1455"/>
      <c r="K195" s="1455"/>
      <c r="L195" s="1455"/>
      <c r="M195" s="1455"/>
      <c r="N195" s="1455"/>
      <c r="O195" s="1455"/>
      <c r="P195" s="1455"/>
      <c r="Q195" s="1455"/>
      <c r="R195" s="1455"/>
      <c r="S195" s="1455"/>
      <c r="T195" s="1455"/>
      <c r="U195" s="1455"/>
      <c r="V195" s="1455"/>
      <c r="W195" s="1455"/>
      <c r="X195" s="1455"/>
      <c r="Y195" s="1455"/>
      <c r="Z195" s="1455"/>
      <c r="AA195" s="1455"/>
      <c r="AB195" s="1455"/>
      <c r="AC195" s="1455"/>
      <c r="AD195" s="1455"/>
      <c r="AE195" s="1455"/>
      <c r="AF195" s="1455"/>
      <c r="AG195" s="1455"/>
      <c r="AH195" s="1455"/>
      <c r="AJ195" s="652"/>
    </row>
    <row r="196" spans="1:51" s="308" customFormat="1" ht="11.25" customHeight="1" x14ac:dyDescent="0.25">
      <c r="A196" s="326"/>
      <c r="B196" s="326"/>
      <c r="C196" s="326"/>
      <c r="D196" s="326"/>
      <c r="E196" s="326"/>
      <c r="F196" s="326"/>
      <c r="G196" s="326"/>
      <c r="H196" s="326"/>
      <c r="I196" s="326"/>
      <c r="J196" s="326"/>
      <c r="K196" s="326"/>
      <c r="L196" s="326"/>
      <c r="M196" s="326"/>
      <c r="N196" s="326"/>
      <c r="O196" s="326"/>
      <c r="P196" s="326"/>
      <c r="Q196" s="326"/>
      <c r="R196" s="326"/>
      <c r="S196" s="326"/>
      <c r="T196" s="326"/>
      <c r="U196" s="326"/>
      <c r="V196" s="326"/>
      <c r="W196" s="326"/>
      <c r="X196" s="326"/>
      <c r="Y196" s="326"/>
      <c r="Z196" s="326"/>
      <c r="AA196" s="326"/>
      <c r="AB196" s="326"/>
      <c r="AC196" s="326"/>
      <c r="AD196" s="326"/>
      <c r="AE196" s="326"/>
      <c r="AF196" s="326"/>
      <c r="AG196" s="326"/>
      <c r="AH196" s="326"/>
      <c r="AJ196" s="508"/>
      <c r="AK196" s="307"/>
      <c r="AL196" s="307"/>
      <c r="AM196" s="307"/>
      <c r="AN196" s="307"/>
      <c r="AO196" s="307"/>
      <c r="AP196" s="307"/>
      <c r="AQ196" s="307"/>
      <c r="AR196" s="307"/>
      <c r="AS196" s="307"/>
      <c r="AT196" s="307"/>
      <c r="AU196" s="307"/>
      <c r="AV196" s="307"/>
      <c r="AW196" s="307"/>
      <c r="AX196" s="307"/>
      <c r="AY196" s="307"/>
    </row>
    <row r="197" spans="1:51" s="308" customFormat="1" ht="13.8" x14ac:dyDescent="0.25">
      <c r="A197" s="1454" t="s">
        <v>135</v>
      </c>
      <c r="B197" s="1454"/>
      <c r="C197" s="1454"/>
      <c r="D197" s="1454"/>
      <c r="E197" s="1454"/>
      <c r="F197" s="1454"/>
      <c r="G197" s="1454"/>
      <c r="H197" s="1454"/>
      <c r="I197" s="1454"/>
      <c r="J197" s="1454"/>
      <c r="K197" s="1454"/>
      <c r="L197" s="1454"/>
      <c r="M197" s="1454"/>
      <c r="N197" s="1454"/>
      <c r="O197" s="1454"/>
      <c r="P197" s="1454"/>
      <c r="Q197" s="1454"/>
      <c r="R197" s="1454"/>
      <c r="S197" s="1454"/>
      <c r="T197" s="1454"/>
      <c r="U197" s="1454"/>
      <c r="V197" s="1454"/>
      <c r="W197" s="1454"/>
      <c r="X197" s="1454"/>
      <c r="Y197" s="1454"/>
      <c r="Z197" s="1454"/>
      <c r="AA197" s="1454"/>
      <c r="AB197" s="1454"/>
      <c r="AC197" s="1454"/>
      <c r="AD197" s="1454"/>
      <c r="AE197" s="1454"/>
      <c r="AF197" s="1454"/>
      <c r="AG197" s="1454"/>
      <c r="AH197" s="1454"/>
      <c r="AJ197" s="512"/>
    </row>
    <row r="198" spans="1:51" s="308" customFormat="1" ht="14.25" customHeight="1" x14ac:dyDescent="0.25">
      <c r="A198" s="1454" t="s">
        <v>136</v>
      </c>
      <c r="B198" s="1454"/>
      <c r="C198" s="1454"/>
      <c r="D198" s="1454"/>
      <c r="E198" s="1454"/>
      <c r="F198" s="1454"/>
      <c r="G198" s="1454"/>
      <c r="H198" s="1454"/>
      <c r="I198" s="1454"/>
      <c r="J198" s="1454"/>
      <c r="K198" s="1454"/>
      <c r="L198" s="1454"/>
      <c r="M198" s="1454" t="s">
        <v>137</v>
      </c>
      <c r="N198" s="1454"/>
      <c r="O198" s="1454"/>
      <c r="P198" s="1454"/>
      <c r="Q198" s="1454"/>
      <c r="R198" s="1454"/>
      <c r="S198" s="1454"/>
      <c r="T198" s="1454"/>
      <c r="U198" s="1454"/>
      <c r="V198" s="1454"/>
      <c r="W198" s="1454"/>
      <c r="X198" s="1454"/>
      <c r="Y198" s="1454"/>
      <c r="Z198" s="1454"/>
      <c r="AA198" s="1454"/>
      <c r="AB198" s="1454"/>
      <c r="AC198" s="1454"/>
      <c r="AD198" s="1454"/>
      <c r="AE198" s="1454"/>
      <c r="AF198" s="1454"/>
      <c r="AG198" s="1454"/>
      <c r="AH198" s="1454"/>
      <c r="AJ198" s="512"/>
    </row>
    <row r="199" spans="1:51" s="308" customFormat="1" ht="14.25" customHeight="1" x14ac:dyDescent="0.25">
      <c r="A199" s="1454" t="s">
        <v>138</v>
      </c>
      <c r="B199" s="1454"/>
      <c r="C199" s="1454"/>
      <c r="D199" s="1454"/>
      <c r="E199" s="1454"/>
      <c r="F199" s="1454"/>
      <c r="G199" s="1454"/>
      <c r="H199" s="1454"/>
      <c r="I199" s="1454"/>
      <c r="J199" s="1454"/>
      <c r="K199" s="1454"/>
      <c r="L199" s="1454"/>
      <c r="M199" s="1454" t="s">
        <v>139</v>
      </c>
      <c r="N199" s="1454"/>
      <c r="O199" s="1454"/>
      <c r="P199" s="1454"/>
      <c r="Q199" s="1454"/>
      <c r="R199" s="1454"/>
      <c r="S199" s="1454"/>
      <c r="T199" s="1454"/>
      <c r="U199" s="1454"/>
      <c r="V199" s="1454"/>
      <c r="W199" s="1454"/>
      <c r="X199" s="1454"/>
      <c r="Y199" s="1454"/>
      <c r="Z199" s="1454"/>
      <c r="AA199" s="1454"/>
      <c r="AB199" s="1454"/>
      <c r="AC199" s="1454"/>
      <c r="AD199" s="1454"/>
      <c r="AE199" s="1454"/>
      <c r="AF199" s="1454"/>
      <c r="AG199" s="1454"/>
      <c r="AH199" s="1454"/>
      <c r="AJ199" s="512"/>
    </row>
    <row r="200" spans="1:51" s="308" customFormat="1" ht="14.25" customHeight="1" x14ac:dyDescent="0.25">
      <c r="A200" s="1454" t="s">
        <v>140</v>
      </c>
      <c r="B200" s="1454"/>
      <c r="C200" s="1454"/>
      <c r="D200" s="1454"/>
      <c r="E200" s="1454"/>
      <c r="F200" s="1454"/>
      <c r="G200" s="1454"/>
      <c r="H200" s="1454"/>
      <c r="I200" s="1454"/>
      <c r="J200" s="1454"/>
      <c r="K200" s="1454"/>
      <c r="L200" s="1454"/>
      <c r="M200" s="1454" t="s">
        <v>141</v>
      </c>
      <c r="N200" s="1454"/>
      <c r="O200" s="1454"/>
      <c r="P200" s="1454"/>
      <c r="Q200" s="1454"/>
      <c r="R200" s="1454"/>
      <c r="S200" s="1454"/>
      <c r="T200" s="1454"/>
      <c r="U200" s="1454"/>
      <c r="V200" s="1454"/>
      <c r="W200" s="1454"/>
      <c r="X200" s="1454"/>
      <c r="Y200" s="1454"/>
      <c r="Z200" s="1454"/>
      <c r="AA200" s="1454"/>
      <c r="AB200" s="1454"/>
      <c r="AC200" s="1454"/>
      <c r="AD200" s="1454"/>
      <c r="AE200" s="1454"/>
      <c r="AF200" s="1454"/>
      <c r="AG200" s="1454"/>
      <c r="AH200" s="1454"/>
      <c r="AJ200" s="512"/>
    </row>
    <row r="201" spans="1:51" s="308" customFormat="1" ht="14.25" customHeight="1" x14ac:dyDescent="0.25">
      <c r="A201" s="1454" t="s">
        <v>142</v>
      </c>
      <c r="B201" s="1454"/>
      <c r="C201" s="1454"/>
      <c r="D201" s="1454"/>
      <c r="E201" s="1454"/>
      <c r="F201" s="1454"/>
      <c r="G201" s="1454"/>
      <c r="H201" s="1454"/>
      <c r="I201" s="1454"/>
      <c r="J201" s="1454"/>
      <c r="K201" s="1454"/>
      <c r="L201" s="1454"/>
      <c r="M201" s="1454" t="s">
        <v>143</v>
      </c>
      <c r="N201" s="1454"/>
      <c r="O201" s="1454"/>
      <c r="P201" s="1454"/>
      <c r="Q201" s="1454"/>
      <c r="R201" s="1454"/>
      <c r="S201" s="1454"/>
      <c r="T201" s="1454"/>
      <c r="U201" s="1454"/>
      <c r="V201" s="1454"/>
      <c r="W201" s="1454"/>
      <c r="X201" s="1454"/>
      <c r="Y201" s="1454"/>
      <c r="Z201" s="1454"/>
      <c r="AA201" s="1454"/>
      <c r="AB201" s="1454"/>
      <c r="AC201" s="1454"/>
      <c r="AD201" s="1454"/>
      <c r="AE201" s="1454"/>
      <c r="AF201" s="1454"/>
      <c r="AG201" s="1454"/>
      <c r="AH201" s="1454"/>
      <c r="AJ201" s="512"/>
    </row>
    <row r="202" spans="1:51" s="308" customFormat="1" ht="14.25" customHeight="1" x14ac:dyDescent="0.25">
      <c r="A202" s="1454" t="s">
        <v>144</v>
      </c>
      <c r="B202" s="1454"/>
      <c r="C202" s="1454"/>
      <c r="D202" s="1454"/>
      <c r="E202" s="1454"/>
      <c r="F202" s="1454"/>
      <c r="G202" s="1454"/>
      <c r="H202" s="1454"/>
      <c r="I202" s="1454"/>
      <c r="J202" s="1454"/>
      <c r="K202" s="1454"/>
      <c r="L202" s="1454"/>
      <c r="M202" s="1454" t="s">
        <v>145</v>
      </c>
      <c r="N202" s="1454"/>
      <c r="O202" s="1454"/>
      <c r="P202" s="1454"/>
      <c r="Q202" s="1454"/>
      <c r="R202" s="1454"/>
      <c r="S202" s="1454"/>
      <c r="T202" s="1454"/>
      <c r="U202" s="1454"/>
      <c r="V202" s="1454"/>
      <c r="W202" s="1454"/>
      <c r="X202" s="1454"/>
      <c r="Y202" s="1454"/>
      <c r="Z202" s="1454"/>
      <c r="AA202" s="1454"/>
      <c r="AB202" s="1454"/>
      <c r="AC202" s="1454"/>
      <c r="AD202" s="1454"/>
      <c r="AE202" s="1454"/>
      <c r="AF202" s="1454"/>
      <c r="AG202" s="1454"/>
      <c r="AH202" s="1454"/>
      <c r="AJ202" s="512"/>
    </row>
    <row r="203" spans="1:51" s="308" customFormat="1" ht="11.25" customHeight="1" x14ac:dyDescent="0.25">
      <c r="A203" s="326"/>
      <c r="B203" s="326"/>
      <c r="C203" s="326"/>
      <c r="D203" s="326"/>
      <c r="E203" s="326"/>
      <c r="F203" s="326"/>
      <c r="G203" s="326"/>
      <c r="H203" s="326"/>
      <c r="I203" s="326"/>
      <c r="J203" s="326"/>
      <c r="K203" s="326"/>
      <c r="L203" s="326"/>
      <c r="M203" s="326"/>
      <c r="N203" s="326"/>
      <c r="O203" s="326"/>
      <c r="P203" s="326"/>
      <c r="Q203" s="326"/>
      <c r="R203" s="326"/>
      <c r="S203" s="326"/>
      <c r="T203" s="326"/>
      <c r="U203" s="326"/>
      <c r="V203" s="326"/>
      <c r="W203" s="326"/>
      <c r="X203" s="326"/>
      <c r="Y203" s="326"/>
      <c r="Z203" s="326"/>
      <c r="AA203" s="326"/>
      <c r="AB203" s="326"/>
      <c r="AC203" s="326"/>
      <c r="AD203" s="326"/>
      <c r="AE203" s="326"/>
      <c r="AF203" s="326"/>
      <c r="AG203" s="326"/>
      <c r="AH203" s="326"/>
      <c r="AJ203" s="508"/>
      <c r="AK203" s="307"/>
      <c r="AL203" s="307"/>
      <c r="AM203" s="307"/>
      <c r="AN203" s="307"/>
      <c r="AO203" s="307"/>
      <c r="AP203" s="307"/>
      <c r="AQ203" s="307"/>
      <c r="AR203" s="307"/>
      <c r="AS203" s="307"/>
      <c r="AT203" s="307"/>
      <c r="AU203" s="307"/>
      <c r="AV203" s="307"/>
      <c r="AW203" s="307"/>
      <c r="AX203" s="307"/>
      <c r="AY203" s="307"/>
    </row>
    <row r="204" spans="1:51" s="305" customFormat="1" ht="15" customHeight="1" x14ac:dyDescent="0.25">
      <c r="A204" s="1455" t="s">
        <v>146</v>
      </c>
      <c r="B204" s="1455"/>
      <c r="C204" s="1455"/>
      <c r="D204" s="1455"/>
      <c r="E204" s="1455"/>
      <c r="F204" s="1455"/>
      <c r="G204" s="1455"/>
      <c r="H204" s="1455"/>
      <c r="I204" s="1455"/>
      <c r="J204" s="1455"/>
      <c r="K204" s="1455"/>
      <c r="L204" s="1455"/>
      <c r="M204" s="1455"/>
      <c r="N204" s="1455"/>
      <c r="O204" s="1455"/>
      <c r="P204" s="1455"/>
      <c r="Q204" s="1455"/>
      <c r="R204" s="1455"/>
      <c r="S204" s="1455"/>
      <c r="T204" s="1455"/>
      <c r="U204" s="1455"/>
      <c r="V204" s="1455"/>
      <c r="W204" s="1455"/>
      <c r="X204" s="1455"/>
      <c r="Y204" s="1455"/>
      <c r="Z204" s="1455"/>
      <c r="AA204" s="1455"/>
      <c r="AB204" s="1455"/>
      <c r="AC204" s="1455"/>
      <c r="AD204" s="1455"/>
      <c r="AE204" s="1455"/>
      <c r="AF204" s="1455"/>
      <c r="AG204" s="1455"/>
      <c r="AH204" s="1455"/>
      <c r="AJ204" s="651"/>
    </row>
    <row r="205" spans="1:51" s="308" customFormat="1" ht="11.25" customHeight="1" x14ac:dyDescent="0.25">
      <c r="A205" s="326"/>
      <c r="B205" s="326"/>
      <c r="C205" s="326"/>
      <c r="D205" s="326"/>
      <c r="E205" s="326"/>
      <c r="F205" s="326"/>
      <c r="G205" s="326"/>
      <c r="H205" s="326"/>
      <c r="I205" s="326"/>
      <c r="J205" s="326"/>
      <c r="K205" s="326"/>
      <c r="L205" s="326"/>
      <c r="M205" s="326"/>
      <c r="N205" s="326"/>
      <c r="O205" s="326"/>
      <c r="P205" s="326"/>
      <c r="Q205" s="326"/>
      <c r="R205" s="326"/>
      <c r="S205" s="326"/>
      <c r="T205" s="326"/>
      <c r="U205" s="326"/>
      <c r="V205" s="326"/>
      <c r="W205" s="326"/>
      <c r="X205" s="326"/>
      <c r="Y205" s="326"/>
      <c r="Z205" s="326"/>
      <c r="AA205" s="326"/>
      <c r="AB205" s="326"/>
      <c r="AC205" s="326"/>
      <c r="AD205" s="326"/>
      <c r="AE205" s="326"/>
      <c r="AF205" s="326"/>
      <c r="AG205" s="326"/>
      <c r="AH205" s="326"/>
      <c r="AJ205" s="508"/>
      <c r="AK205" s="307"/>
      <c r="AL205" s="307"/>
      <c r="AM205" s="307"/>
      <c r="AN205" s="307"/>
      <c r="AO205" s="307"/>
      <c r="AP205" s="307"/>
      <c r="AQ205" s="307"/>
      <c r="AR205" s="307"/>
      <c r="AS205" s="307"/>
      <c r="AT205" s="307"/>
      <c r="AU205" s="307"/>
      <c r="AV205" s="307"/>
      <c r="AW205" s="307"/>
      <c r="AX205" s="307"/>
      <c r="AY205" s="307"/>
    </row>
    <row r="206" spans="1:51" s="308" customFormat="1" ht="14.25" customHeight="1" x14ac:dyDescent="0.25">
      <c r="A206" s="1454" t="s">
        <v>147</v>
      </c>
      <c r="B206" s="1454"/>
      <c r="C206" s="1454"/>
      <c r="D206" s="1454"/>
      <c r="E206" s="1454"/>
      <c r="F206" s="1454"/>
      <c r="G206" s="1454"/>
      <c r="H206" s="1454"/>
      <c r="I206" s="1454"/>
      <c r="J206" s="1454"/>
      <c r="K206" s="1454"/>
      <c r="L206" s="1454"/>
      <c r="M206" s="1454"/>
      <c r="N206" s="1454"/>
      <c r="O206" s="1454"/>
      <c r="P206" s="1454"/>
      <c r="Q206" s="1454"/>
      <c r="R206" s="1454"/>
      <c r="S206" s="1454"/>
      <c r="T206" s="1454"/>
      <c r="U206" s="1454"/>
      <c r="V206" s="1454"/>
      <c r="W206" s="1454"/>
      <c r="X206" s="1454"/>
      <c r="Y206" s="1454"/>
      <c r="Z206" s="1454"/>
      <c r="AA206" s="1454"/>
      <c r="AB206" s="1454"/>
      <c r="AC206" s="1454"/>
      <c r="AD206" s="1454"/>
      <c r="AE206" s="1454"/>
      <c r="AF206" s="1454"/>
      <c r="AG206" s="1454"/>
      <c r="AH206" s="1454"/>
      <c r="AJ206" s="512"/>
    </row>
    <row r="207" spans="1:51" s="308" customFormat="1" ht="11.25" customHeight="1" x14ac:dyDescent="0.25">
      <c r="A207" s="326"/>
      <c r="B207" s="326"/>
      <c r="C207" s="326"/>
      <c r="D207" s="326"/>
      <c r="E207" s="326"/>
      <c r="F207" s="326"/>
      <c r="G207" s="326"/>
      <c r="H207" s="326"/>
      <c r="I207" s="326"/>
      <c r="J207" s="326"/>
      <c r="K207" s="326"/>
      <c r="L207" s="326"/>
      <c r="M207" s="326"/>
      <c r="N207" s="326"/>
      <c r="O207" s="326"/>
      <c r="P207" s="326"/>
      <c r="Q207" s="326"/>
      <c r="R207" s="326"/>
      <c r="S207" s="326"/>
      <c r="T207" s="326"/>
      <c r="U207" s="326"/>
      <c r="V207" s="326"/>
      <c r="W207" s="326"/>
      <c r="X207" s="326"/>
      <c r="Y207" s="326"/>
      <c r="Z207" s="326"/>
      <c r="AA207" s="326"/>
      <c r="AB207" s="326"/>
      <c r="AC207" s="326"/>
      <c r="AD207" s="326"/>
      <c r="AE207" s="326"/>
      <c r="AF207" s="326"/>
      <c r="AG207" s="326"/>
      <c r="AH207" s="326"/>
      <c r="AJ207" s="508"/>
      <c r="AK207" s="307"/>
      <c r="AL207" s="307"/>
      <c r="AM207" s="307"/>
      <c r="AN207" s="307"/>
      <c r="AO207" s="307"/>
      <c r="AP207" s="307"/>
      <c r="AQ207" s="307"/>
      <c r="AR207" s="307"/>
      <c r="AS207" s="307"/>
      <c r="AT207" s="307"/>
      <c r="AU207" s="307"/>
      <c r="AV207" s="307"/>
      <c r="AW207" s="307"/>
      <c r="AX207" s="307"/>
      <c r="AY207" s="307"/>
    </row>
    <row r="208" spans="1:51" s="308" customFormat="1" ht="11.25" customHeight="1" x14ac:dyDescent="0.25">
      <c r="A208" s="326"/>
      <c r="B208" s="326"/>
      <c r="C208" s="326"/>
      <c r="D208" s="326"/>
      <c r="E208" s="326"/>
      <c r="F208" s="326"/>
      <c r="G208" s="326"/>
      <c r="H208" s="326"/>
      <c r="I208" s="326"/>
      <c r="J208" s="326"/>
      <c r="K208" s="326"/>
      <c r="L208" s="326"/>
      <c r="M208" s="326"/>
      <c r="N208" s="326"/>
      <c r="O208" s="326"/>
      <c r="P208" s="326"/>
      <c r="Q208" s="326"/>
      <c r="R208" s="326"/>
      <c r="S208" s="326"/>
      <c r="T208" s="326"/>
      <c r="U208" s="326"/>
      <c r="V208" s="326"/>
      <c r="W208" s="326"/>
      <c r="X208" s="326"/>
      <c r="Y208" s="326"/>
      <c r="Z208" s="326"/>
      <c r="AA208" s="326"/>
      <c r="AB208" s="326"/>
      <c r="AC208" s="326"/>
      <c r="AD208" s="326"/>
      <c r="AE208" s="326"/>
      <c r="AF208" s="326"/>
      <c r="AG208" s="326"/>
      <c r="AH208" s="326"/>
      <c r="AJ208" s="508"/>
      <c r="AK208" s="307"/>
      <c r="AL208" s="307"/>
      <c r="AM208" s="307"/>
      <c r="AN208" s="307"/>
      <c r="AO208" s="307"/>
      <c r="AP208" s="307"/>
      <c r="AQ208" s="307"/>
      <c r="AR208" s="307"/>
      <c r="AS208" s="307"/>
      <c r="AT208" s="307"/>
      <c r="AU208" s="307"/>
      <c r="AV208" s="307"/>
      <c r="AW208" s="307"/>
      <c r="AX208" s="307"/>
      <c r="AY208" s="307"/>
    </row>
    <row r="209" spans="1:51" s="308" customFormat="1" ht="11.25" customHeight="1" x14ac:dyDescent="0.25">
      <c r="A209" s="326"/>
      <c r="B209" s="326"/>
      <c r="C209" s="326"/>
      <c r="D209" s="326"/>
      <c r="E209" s="326"/>
      <c r="F209" s="326"/>
      <c r="G209" s="326"/>
      <c r="H209" s="326"/>
      <c r="I209" s="326"/>
      <c r="J209" s="326"/>
      <c r="K209" s="326"/>
      <c r="L209" s="326"/>
      <c r="M209" s="326"/>
      <c r="N209" s="326"/>
      <c r="O209" s="326"/>
      <c r="P209" s="326"/>
      <c r="Q209" s="326"/>
      <c r="R209" s="326"/>
      <c r="S209" s="326"/>
      <c r="T209" s="326"/>
      <c r="U209" s="326"/>
      <c r="V209" s="326"/>
      <c r="W209" s="326"/>
      <c r="X209" s="326"/>
      <c r="Y209" s="326"/>
      <c r="Z209" s="326"/>
      <c r="AA209" s="326"/>
      <c r="AB209" s="326"/>
      <c r="AC209" s="326"/>
      <c r="AD209" s="326"/>
      <c r="AE209" s="326"/>
      <c r="AF209" s="326"/>
      <c r="AG209" s="326"/>
      <c r="AH209" s="326"/>
      <c r="AJ209" s="508"/>
      <c r="AK209" s="307"/>
      <c r="AL209" s="307"/>
      <c r="AM209" s="307"/>
      <c r="AN209" s="307"/>
      <c r="AO209" s="307"/>
      <c r="AP209" s="307"/>
      <c r="AQ209" s="307"/>
      <c r="AR209" s="307"/>
      <c r="AS209" s="307"/>
      <c r="AT209" s="307"/>
      <c r="AU209" s="307"/>
      <c r="AV209" s="307"/>
      <c r="AW209" s="307"/>
      <c r="AX209" s="307"/>
      <c r="AY209" s="307"/>
    </row>
    <row r="210" spans="1:51" s="308" customFormat="1" ht="11.25" customHeight="1" x14ac:dyDescent="0.25">
      <c r="A210" s="326"/>
      <c r="B210" s="326"/>
      <c r="C210" s="326"/>
      <c r="D210" s="326"/>
      <c r="E210" s="326"/>
      <c r="F210" s="326"/>
      <c r="G210" s="326"/>
      <c r="H210" s="326"/>
      <c r="I210" s="326"/>
      <c r="J210" s="326"/>
      <c r="K210" s="326"/>
      <c r="L210" s="326"/>
      <c r="M210" s="326"/>
      <c r="N210" s="326"/>
      <c r="O210" s="326"/>
      <c r="P210" s="326"/>
      <c r="Q210" s="326"/>
      <c r="R210" s="326"/>
      <c r="S210" s="326"/>
      <c r="T210" s="326"/>
      <c r="U210" s="326"/>
      <c r="V210" s="326"/>
      <c r="W210" s="326"/>
      <c r="X210" s="326"/>
      <c r="Y210" s="326"/>
      <c r="Z210" s="326"/>
      <c r="AA210" s="326"/>
      <c r="AB210" s="326"/>
      <c r="AC210" s="326"/>
      <c r="AD210" s="326"/>
      <c r="AE210" s="326"/>
      <c r="AF210" s="326"/>
      <c r="AG210" s="326"/>
      <c r="AH210" s="326"/>
      <c r="AJ210" s="508"/>
      <c r="AK210" s="307"/>
      <c r="AL210" s="307"/>
      <c r="AM210" s="307"/>
      <c r="AN210" s="307"/>
      <c r="AO210" s="307"/>
      <c r="AP210" s="307"/>
      <c r="AQ210" s="307"/>
      <c r="AR210" s="307"/>
      <c r="AS210" s="307"/>
      <c r="AT210" s="307"/>
      <c r="AU210" s="307"/>
      <c r="AV210" s="307"/>
      <c r="AW210" s="307"/>
      <c r="AX210" s="307"/>
      <c r="AY210" s="307"/>
    </row>
    <row r="211" spans="1:51" s="308" customFormat="1" ht="11.25" customHeight="1" x14ac:dyDescent="0.25">
      <c r="A211" s="326"/>
      <c r="B211" s="326"/>
      <c r="C211" s="326"/>
      <c r="D211" s="326"/>
      <c r="E211" s="326"/>
      <c r="F211" s="326"/>
      <c r="G211" s="326"/>
      <c r="H211" s="326"/>
      <c r="I211" s="326"/>
      <c r="J211" s="326"/>
      <c r="K211" s="326"/>
      <c r="L211" s="326"/>
      <c r="M211" s="326"/>
      <c r="N211" s="326"/>
      <c r="O211" s="326"/>
      <c r="P211" s="326"/>
      <c r="Q211" s="326"/>
      <c r="R211" s="326"/>
      <c r="S211" s="326"/>
      <c r="T211" s="326"/>
      <c r="U211" s="326"/>
      <c r="V211" s="326"/>
      <c r="W211" s="326"/>
      <c r="X211" s="326"/>
      <c r="Y211" s="326"/>
      <c r="Z211" s="326"/>
      <c r="AA211" s="326"/>
      <c r="AB211" s="326"/>
      <c r="AC211" s="326"/>
      <c r="AD211" s="326"/>
      <c r="AE211" s="326"/>
      <c r="AF211" s="326"/>
      <c r="AG211" s="326"/>
      <c r="AH211" s="326"/>
      <c r="AJ211" s="508"/>
      <c r="AK211" s="307"/>
      <c r="AL211" s="307"/>
      <c r="AM211" s="307"/>
      <c r="AN211" s="307"/>
      <c r="AO211" s="307"/>
      <c r="AP211" s="307"/>
      <c r="AQ211" s="307"/>
      <c r="AR211" s="307"/>
      <c r="AS211" s="307"/>
      <c r="AT211" s="307"/>
      <c r="AU211" s="307"/>
      <c r="AV211" s="307"/>
      <c r="AW211" s="307"/>
      <c r="AX211" s="307"/>
      <c r="AY211" s="307"/>
    </row>
    <row r="212" spans="1:51" s="305" customFormat="1" ht="14.1" customHeight="1" x14ac:dyDescent="0.25">
      <c r="A212" s="1426" t="s">
        <v>148</v>
      </c>
      <c r="B212" s="1426"/>
      <c r="C212" s="1426"/>
      <c r="D212" s="1426"/>
      <c r="E212" s="1426"/>
      <c r="F212" s="1426"/>
      <c r="G212" s="1426"/>
      <c r="H212" s="1426"/>
      <c r="I212" s="1426"/>
      <c r="J212" s="1426"/>
      <c r="K212" s="1426"/>
      <c r="L212" s="1426"/>
      <c r="M212" s="1426"/>
      <c r="N212" s="1426"/>
      <c r="O212" s="1426"/>
      <c r="P212" s="1426"/>
      <c r="Q212" s="1426"/>
      <c r="R212" s="1426"/>
      <c r="S212" s="1426"/>
      <c r="T212" s="1426"/>
      <c r="U212" s="1426"/>
      <c r="V212" s="1426"/>
      <c r="W212" s="1426"/>
      <c r="X212" s="1426"/>
      <c r="Y212" s="1426"/>
      <c r="Z212" s="1426"/>
      <c r="AA212" s="1426"/>
      <c r="AB212" s="1426"/>
      <c r="AC212" s="1426"/>
      <c r="AD212" s="1426"/>
      <c r="AE212" s="1426"/>
      <c r="AF212" s="1426"/>
      <c r="AG212" s="1426"/>
      <c r="AH212" s="1426"/>
      <c r="AJ212" s="651"/>
    </row>
    <row r="213" spans="1:51" s="308" customFormat="1" ht="15" customHeight="1" x14ac:dyDescent="0.25">
      <c r="A213" s="656"/>
      <c r="B213" s="656"/>
      <c r="C213" s="656"/>
      <c r="D213" s="656"/>
      <c r="E213" s="656"/>
      <c r="F213" s="656"/>
      <c r="G213" s="656"/>
      <c r="H213" s="656"/>
      <c r="I213" s="656"/>
      <c r="J213" s="1464" t="s">
        <v>149</v>
      </c>
      <c r="K213" s="1465"/>
      <c r="L213" s="1465"/>
      <c r="M213" s="1465"/>
      <c r="N213" s="1465"/>
      <c r="O213" s="1464" t="s">
        <v>150</v>
      </c>
      <c r="P213" s="1465"/>
      <c r="Q213" s="1465"/>
      <c r="R213" s="1465"/>
      <c r="S213" s="1465"/>
      <c r="T213" s="1466" t="s">
        <v>151</v>
      </c>
      <c r="U213" s="1466"/>
      <c r="V213" s="1466"/>
      <c r="W213" s="1466"/>
      <c r="X213" s="1466"/>
      <c r="Y213" s="656"/>
      <c r="Z213" s="656"/>
      <c r="AA213" s="656"/>
      <c r="AB213" s="656"/>
      <c r="AC213" s="656"/>
      <c r="AD213" s="656"/>
      <c r="AE213" s="656"/>
      <c r="AF213" s="656"/>
      <c r="AG213" s="656"/>
      <c r="AH213" s="656"/>
      <c r="AJ213" s="508"/>
      <c r="AK213" s="307"/>
      <c r="AL213" s="307"/>
      <c r="AM213" s="307"/>
      <c r="AN213" s="307"/>
      <c r="AO213" s="307"/>
      <c r="AP213" s="307"/>
      <c r="AQ213" s="307"/>
      <c r="AR213" s="307"/>
      <c r="AS213" s="307"/>
      <c r="AT213" s="307"/>
      <c r="AU213" s="307"/>
      <c r="AV213" s="307"/>
      <c r="AW213" s="307"/>
      <c r="AX213" s="307"/>
      <c r="AY213" s="307"/>
    </row>
    <row r="214" spans="1:51" ht="36.75" customHeight="1" x14ac:dyDescent="0.25">
      <c r="A214" s="656"/>
      <c r="B214" s="656"/>
      <c r="C214" s="656"/>
      <c r="D214" s="656"/>
      <c r="E214" s="656"/>
      <c r="F214" s="656"/>
      <c r="G214" s="656"/>
      <c r="H214" s="656"/>
      <c r="I214" s="656"/>
      <c r="J214" s="1467"/>
      <c r="K214" s="1468"/>
      <c r="L214" s="1468"/>
      <c r="M214" s="1468"/>
      <c r="N214" s="1469"/>
      <c r="O214" s="1470"/>
      <c r="P214" s="1470"/>
      <c r="Q214" s="1470"/>
      <c r="R214" s="1470"/>
      <c r="S214" s="1470"/>
      <c r="T214" s="1470"/>
      <c r="U214" s="1470"/>
      <c r="V214" s="1470"/>
      <c r="W214" s="1470"/>
      <c r="X214" s="1470"/>
      <c r="Y214" s="656"/>
      <c r="Z214" s="656"/>
      <c r="AA214" s="656"/>
      <c r="AB214" s="656"/>
      <c r="AC214" s="656"/>
      <c r="AD214" s="656"/>
      <c r="AE214" s="656"/>
      <c r="AF214" s="656"/>
      <c r="AG214" s="656"/>
      <c r="AH214" s="656"/>
      <c r="AJ214" s="652"/>
    </row>
    <row r="215" spans="1:51" s="308" customFormat="1" ht="11.25" customHeight="1" x14ac:dyDescent="0.25">
      <c r="A215" s="326"/>
      <c r="B215" s="326"/>
      <c r="C215" s="326"/>
      <c r="D215" s="326"/>
      <c r="E215" s="326"/>
      <c r="F215" s="326"/>
      <c r="G215" s="326"/>
      <c r="H215" s="326"/>
      <c r="I215" s="326"/>
      <c r="J215" s="326"/>
      <c r="K215" s="326"/>
      <c r="L215" s="326"/>
      <c r="M215" s="326"/>
      <c r="N215" s="326"/>
      <c r="O215" s="326"/>
      <c r="P215" s="326"/>
      <c r="Q215" s="326"/>
      <c r="R215" s="326"/>
      <c r="S215" s="326"/>
      <c r="T215" s="326"/>
      <c r="U215" s="326"/>
      <c r="V215" s="326"/>
      <c r="W215" s="326"/>
      <c r="X215" s="326"/>
      <c r="Y215" s="326"/>
      <c r="Z215" s="326"/>
      <c r="AA215" s="326"/>
      <c r="AB215" s="326"/>
      <c r="AC215" s="326"/>
      <c r="AD215" s="326"/>
      <c r="AE215" s="326"/>
      <c r="AF215" s="326"/>
      <c r="AG215" s="326"/>
      <c r="AH215" s="326"/>
      <c r="AJ215" s="508"/>
      <c r="AK215" s="307"/>
      <c r="AL215" s="307"/>
      <c r="AM215" s="307"/>
      <c r="AN215" s="307"/>
      <c r="AO215" s="307"/>
      <c r="AP215" s="307"/>
      <c r="AQ215" s="307"/>
      <c r="AR215" s="307"/>
      <c r="AS215" s="307"/>
      <c r="AT215" s="307"/>
      <c r="AU215" s="307"/>
      <c r="AV215" s="307"/>
      <c r="AW215" s="307"/>
      <c r="AX215" s="307"/>
      <c r="AY215" s="307"/>
    </row>
    <row r="216" spans="1:51" s="308" customFormat="1" ht="42" customHeight="1" x14ac:dyDescent="0.25">
      <c r="A216" s="1454" t="s">
        <v>152</v>
      </c>
      <c r="B216" s="1454"/>
      <c r="C216" s="1454"/>
      <c r="D216" s="1454"/>
      <c r="E216" s="1454"/>
      <c r="F216" s="1454"/>
      <c r="G216" s="1454"/>
      <c r="H216" s="1454"/>
      <c r="I216" s="1454"/>
      <c r="J216" s="1454"/>
      <c r="K216" s="1454"/>
      <c r="L216" s="1454"/>
      <c r="M216" s="1454"/>
      <c r="N216" s="1454"/>
      <c r="O216" s="1454"/>
      <c r="P216" s="1454"/>
      <c r="Q216" s="1454"/>
      <c r="R216" s="1454"/>
      <c r="S216" s="1454"/>
      <c r="T216" s="1454"/>
      <c r="U216" s="1454"/>
      <c r="V216" s="1454"/>
      <c r="W216" s="1454"/>
      <c r="X216" s="1454"/>
      <c r="Y216" s="1454"/>
      <c r="Z216" s="1454"/>
      <c r="AA216" s="1454"/>
      <c r="AB216" s="1454"/>
      <c r="AC216" s="1454"/>
      <c r="AD216" s="1454"/>
      <c r="AE216" s="1454"/>
      <c r="AF216" s="1454"/>
      <c r="AG216" s="1454"/>
      <c r="AH216" s="1454"/>
      <c r="AJ216" s="512"/>
    </row>
    <row r="217" spans="1:51" s="308" customFormat="1" ht="11.25" customHeight="1" x14ac:dyDescent="0.25">
      <c r="A217" s="326"/>
      <c r="B217" s="326"/>
      <c r="C217" s="326"/>
      <c r="D217" s="326"/>
      <c r="E217" s="326"/>
      <c r="F217" s="326"/>
      <c r="G217" s="326"/>
      <c r="H217" s="326"/>
      <c r="I217" s="326"/>
      <c r="J217" s="326"/>
      <c r="K217" s="326"/>
      <c r="L217" s="326"/>
      <c r="M217" s="326"/>
      <c r="N217" s="326"/>
      <c r="O217" s="326"/>
      <c r="P217" s="326"/>
      <c r="Q217" s="326"/>
      <c r="R217" s="326"/>
      <c r="S217" s="326"/>
      <c r="T217" s="326"/>
      <c r="U217" s="326"/>
      <c r="V217" s="326"/>
      <c r="W217" s="326"/>
      <c r="X217" s="326"/>
      <c r="Y217" s="326"/>
      <c r="Z217" s="326"/>
      <c r="AA217" s="326"/>
      <c r="AB217" s="326"/>
      <c r="AC217" s="326"/>
      <c r="AD217" s="326"/>
      <c r="AE217" s="326"/>
      <c r="AF217" s="326"/>
      <c r="AG217" s="326"/>
      <c r="AH217" s="326"/>
      <c r="AJ217" s="508"/>
      <c r="AK217" s="307"/>
      <c r="AL217" s="307"/>
      <c r="AM217" s="307"/>
      <c r="AN217" s="307"/>
      <c r="AO217" s="307"/>
      <c r="AP217" s="307"/>
      <c r="AQ217" s="307"/>
      <c r="AR217" s="307"/>
      <c r="AS217" s="307"/>
      <c r="AT217" s="307"/>
      <c r="AU217" s="307"/>
      <c r="AV217" s="307"/>
      <c r="AW217" s="307"/>
      <c r="AX217" s="307"/>
      <c r="AY217" s="307"/>
    </row>
    <row r="218" spans="1:51" s="308" customFormat="1" ht="27.75" customHeight="1" x14ac:dyDescent="0.25">
      <c r="A218" s="1454" t="s">
        <v>153</v>
      </c>
      <c r="B218" s="1454"/>
      <c r="C218" s="1454"/>
      <c r="D218" s="1454"/>
      <c r="E218" s="1454"/>
      <c r="F218" s="1454"/>
      <c r="G218" s="1454"/>
      <c r="H218" s="1454"/>
      <c r="I218" s="1454"/>
      <c r="J218" s="1454"/>
      <c r="K218" s="1454"/>
      <c r="L218" s="1454"/>
      <c r="M218" s="1454"/>
      <c r="N218" s="1454"/>
      <c r="O218" s="1454"/>
      <c r="P218" s="1454"/>
      <c r="Q218" s="1454"/>
      <c r="R218" s="1454"/>
      <c r="S218" s="1454"/>
      <c r="T218" s="1454"/>
      <c r="U218" s="1454"/>
      <c r="V218" s="1454"/>
      <c r="W218" s="1454"/>
      <c r="X218" s="1454"/>
      <c r="Y218" s="1454"/>
      <c r="Z218" s="1454"/>
      <c r="AA218" s="1454"/>
      <c r="AB218" s="1454"/>
      <c r="AC218" s="1454"/>
      <c r="AD218" s="1454"/>
      <c r="AE218" s="1454"/>
      <c r="AF218" s="1454"/>
      <c r="AG218" s="1454"/>
      <c r="AH218" s="1454"/>
      <c r="AJ218" s="512"/>
    </row>
    <row r="219" spans="1:51" s="308" customFormat="1" ht="11.25" customHeight="1" x14ac:dyDescent="0.25">
      <c r="A219" s="326"/>
      <c r="B219" s="326"/>
      <c r="C219" s="326"/>
      <c r="D219" s="326"/>
      <c r="E219" s="326"/>
      <c r="F219" s="326"/>
      <c r="G219" s="326"/>
      <c r="H219" s="326"/>
      <c r="I219" s="326"/>
      <c r="J219" s="326"/>
      <c r="K219" s="326"/>
      <c r="L219" s="326"/>
      <c r="M219" s="326"/>
      <c r="N219" s="326"/>
      <c r="O219" s="326"/>
      <c r="P219" s="326"/>
      <c r="Q219" s="326"/>
      <c r="R219" s="326"/>
      <c r="S219" s="326"/>
      <c r="T219" s="326"/>
      <c r="U219" s="326"/>
      <c r="V219" s="326"/>
      <c r="W219" s="326"/>
      <c r="X219" s="326"/>
      <c r="Y219" s="326"/>
      <c r="Z219" s="326"/>
      <c r="AA219" s="326"/>
      <c r="AB219" s="326"/>
      <c r="AC219" s="326"/>
      <c r="AD219" s="326"/>
      <c r="AE219" s="326"/>
      <c r="AF219" s="326"/>
      <c r="AG219" s="326"/>
      <c r="AH219" s="326"/>
      <c r="AJ219" s="508"/>
      <c r="AK219" s="307"/>
      <c r="AL219" s="307"/>
      <c r="AM219" s="307"/>
      <c r="AN219" s="307"/>
      <c r="AO219" s="307"/>
      <c r="AP219" s="307"/>
      <c r="AQ219" s="307"/>
      <c r="AR219" s="307"/>
      <c r="AS219" s="307"/>
      <c r="AT219" s="307"/>
      <c r="AU219" s="307"/>
      <c r="AV219" s="307"/>
      <c r="AW219" s="307"/>
      <c r="AX219" s="307"/>
      <c r="AY219" s="307"/>
    </row>
    <row r="220" spans="1:51" s="305" customFormat="1" ht="15" customHeight="1" x14ac:dyDescent="0.25">
      <c r="A220" s="1455" t="s">
        <v>154</v>
      </c>
      <c r="B220" s="1455"/>
      <c r="C220" s="1455"/>
      <c r="D220" s="1455"/>
      <c r="E220" s="1455"/>
      <c r="F220" s="1455"/>
      <c r="G220" s="1455"/>
      <c r="H220" s="1455"/>
      <c r="I220" s="1455"/>
      <c r="J220" s="1455"/>
      <c r="K220" s="1455"/>
      <c r="L220" s="1455"/>
      <c r="M220" s="1455"/>
      <c r="N220" s="1455"/>
      <c r="O220" s="1455"/>
      <c r="P220" s="1455"/>
      <c r="Q220" s="1455"/>
      <c r="R220" s="1455"/>
      <c r="S220" s="1455"/>
      <c r="T220" s="1455"/>
      <c r="U220" s="1455"/>
      <c r="V220" s="1455"/>
      <c r="W220" s="1455"/>
      <c r="X220" s="1455"/>
      <c r="Y220" s="1455"/>
      <c r="Z220" s="1455"/>
      <c r="AA220" s="1455"/>
      <c r="AB220" s="1455"/>
      <c r="AC220" s="1455"/>
      <c r="AD220" s="1455"/>
      <c r="AE220" s="1455"/>
      <c r="AF220" s="1455"/>
      <c r="AG220" s="1455"/>
      <c r="AH220" s="1455"/>
      <c r="AJ220" s="651"/>
    </row>
    <row r="221" spans="1:51" s="308" customFormat="1" ht="11.25" customHeight="1" x14ac:dyDescent="0.25">
      <c r="A221" s="326"/>
      <c r="B221" s="326"/>
      <c r="C221" s="326"/>
      <c r="D221" s="326"/>
      <c r="E221" s="326"/>
      <c r="F221" s="326"/>
      <c r="G221" s="326"/>
      <c r="H221" s="326"/>
      <c r="I221" s="326"/>
      <c r="J221" s="326"/>
      <c r="K221" s="326"/>
      <c r="L221" s="326"/>
      <c r="M221" s="326"/>
      <c r="N221" s="326"/>
      <c r="O221" s="326"/>
      <c r="P221" s="326"/>
      <c r="Q221" s="326"/>
      <c r="R221" s="326"/>
      <c r="S221" s="326"/>
      <c r="T221" s="326"/>
      <c r="U221" s="326"/>
      <c r="V221" s="326"/>
      <c r="W221" s="326"/>
      <c r="X221" s="326"/>
      <c r="Y221" s="326"/>
      <c r="Z221" s="326"/>
      <c r="AA221" s="326"/>
      <c r="AB221" s="326"/>
      <c r="AC221" s="326"/>
      <c r="AD221" s="326"/>
      <c r="AE221" s="326"/>
      <c r="AF221" s="326"/>
      <c r="AG221" s="326"/>
      <c r="AH221" s="326"/>
      <c r="AJ221" s="508"/>
      <c r="AK221" s="307"/>
      <c r="AL221" s="307"/>
      <c r="AM221" s="307"/>
      <c r="AN221" s="307"/>
      <c r="AO221" s="307"/>
      <c r="AP221" s="307"/>
      <c r="AQ221" s="307"/>
      <c r="AR221" s="307"/>
      <c r="AS221" s="307"/>
      <c r="AT221" s="307"/>
      <c r="AU221" s="307"/>
      <c r="AV221" s="307"/>
      <c r="AW221" s="307"/>
      <c r="AX221" s="307"/>
      <c r="AY221" s="307"/>
    </row>
    <row r="222" spans="1:51" s="308" customFormat="1" ht="27.75" customHeight="1" x14ac:dyDescent="0.25">
      <c r="A222" s="1454" t="s">
        <v>155</v>
      </c>
      <c r="B222" s="1454"/>
      <c r="C222" s="1454"/>
      <c r="D222" s="1454"/>
      <c r="E222" s="1454"/>
      <c r="F222" s="1454"/>
      <c r="G222" s="1454"/>
      <c r="H222" s="1454"/>
      <c r="I222" s="1454"/>
      <c r="J222" s="1454"/>
      <c r="K222" s="1454"/>
      <c r="L222" s="1454"/>
      <c r="M222" s="1454"/>
      <c r="N222" s="1454"/>
      <c r="O222" s="1454"/>
      <c r="P222" s="1454"/>
      <c r="Q222" s="1454"/>
      <c r="R222" s="1454"/>
      <c r="S222" s="1454"/>
      <c r="T222" s="1454"/>
      <c r="U222" s="1454"/>
      <c r="V222" s="1454"/>
      <c r="W222" s="1454"/>
      <c r="X222" s="1454"/>
      <c r="Y222" s="1454"/>
      <c r="Z222" s="1454"/>
      <c r="AA222" s="1454"/>
      <c r="AB222" s="1454"/>
      <c r="AC222" s="1454"/>
      <c r="AD222" s="1454"/>
      <c r="AE222" s="1454"/>
      <c r="AF222" s="1454"/>
      <c r="AG222" s="1454"/>
      <c r="AH222" s="1454"/>
      <c r="AJ222" s="512"/>
    </row>
    <row r="223" spans="1:51" s="308" customFormat="1" ht="11.25" customHeight="1" x14ac:dyDescent="0.25">
      <c r="A223" s="326"/>
      <c r="B223" s="326"/>
      <c r="C223" s="326"/>
      <c r="D223" s="326"/>
      <c r="E223" s="326"/>
      <c r="F223" s="326"/>
      <c r="G223" s="326"/>
      <c r="H223" s="326"/>
      <c r="I223" s="326"/>
      <c r="J223" s="326"/>
      <c r="K223" s="326"/>
      <c r="L223" s="326"/>
      <c r="M223" s="326"/>
      <c r="N223" s="326"/>
      <c r="O223" s="326"/>
      <c r="P223" s="326"/>
      <c r="Q223" s="326"/>
      <c r="R223" s="326"/>
      <c r="S223" s="326"/>
      <c r="T223" s="326"/>
      <c r="U223" s="326"/>
      <c r="V223" s="326"/>
      <c r="W223" s="326"/>
      <c r="X223" s="326"/>
      <c r="Y223" s="326"/>
      <c r="Z223" s="326"/>
      <c r="AA223" s="326"/>
      <c r="AB223" s="326"/>
      <c r="AC223" s="326"/>
      <c r="AD223" s="326"/>
      <c r="AE223" s="326"/>
      <c r="AF223" s="326"/>
      <c r="AG223" s="326"/>
      <c r="AH223" s="326"/>
      <c r="AJ223" s="508"/>
      <c r="AK223" s="307"/>
      <c r="AL223" s="307"/>
      <c r="AM223" s="307"/>
      <c r="AN223" s="307"/>
      <c r="AO223" s="307"/>
      <c r="AP223" s="307"/>
      <c r="AQ223" s="307"/>
      <c r="AR223" s="307"/>
      <c r="AS223" s="307"/>
      <c r="AT223" s="307"/>
      <c r="AU223" s="307"/>
      <c r="AV223" s="307"/>
      <c r="AW223" s="307"/>
      <c r="AX223" s="307"/>
      <c r="AY223" s="307"/>
    </row>
    <row r="224" spans="1:51" s="305" customFormat="1" ht="12" customHeight="1" x14ac:dyDescent="0.25">
      <c r="A224" s="1455" t="s">
        <v>156</v>
      </c>
      <c r="B224" s="1455"/>
      <c r="C224" s="1455"/>
      <c r="D224" s="1455"/>
      <c r="E224" s="1455"/>
      <c r="F224" s="1455"/>
      <c r="G224" s="1455"/>
      <c r="H224" s="1455"/>
      <c r="I224" s="1455"/>
      <c r="J224" s="1455"/>
      <c r="K224" s="1455"/>
      <c r="L224" s="1455"/>
      <c r="M224" s="1455"/>
      <c r="N224" s="1455"/>
      <c r="O224" s="1455"/>
      <c r="P224" s="1455"/>
      <c r="Q224" s="1455"/>
      <c r="R224" s="1455"/>
      <c r="S224" s="1455"/>
      <c r="T224" s="1455"/>
      <c r="U224" s="1455"/>
      <c r="V224" s="1455"/>
      <c r="W224" s="1455"/>
      <c r="X224" s="1455"/>
      <c r="Y224" s="1455"/>
      <c r="Z224" s="1455"/>
      <c r="AA224" s="1455"/>
      <c r="AB224" s="1455"/>
      <c r="AC224" s="1455"/>
      <c r="AD224" s="1455"/>
      <c r="AE224" s="1455"/>
      <c r="AF224" s="1455"/>
      <c r="AG224" s="1455"/>
      <c r="AH224" s="1455"/>
      <c r="AJ224" s="651"/>
    </row>
    <row r="225" spans="1:51" s="308" customFormat="1" ht="11.25" customHeight="1" x14ac:dyDescent="0.25">
      <c r="A225" s="326"/>
      <c r="B225" s="326"/>
      <c r="C225" s="326"/>
      <c r="D225" s="326"/>
      <c r="E225" s="326"/>
      <c r="F225" s="326"/>
      <c r="G225" s="326"/>
      <c r="H225" s="326"/>
      <c r="I225" s="326"/>
      <c r="J225" s="326"/>
      <c r="K225" s="326"/>
      <c r="L225" s="326"/>
      <c r="M225" s="326"/>
      <c r="N225" s="326"/>
      <c r="O225" s="326"/>
      <c r="P225" s="326"/>
      <c r="Q225" s="326"/>
      <c r="R225" s="326"/>
      <c r="S225" s="326"/>
      <c r="T225" s="326"/>
      <c r="U225" s="326"/>
      <c r="V225" s="326"/>
      <c r="W225" s="326"/>
      <c r="X225" s="326"/>
      <c r="Y225" s="326"/>
      <c r="Z225" s="326"/>
      <c r="AA225" s="326"/>
      <c r="AB225" s="326"/>
      <c r="AC225" s="326"/>
      <c r="AD225" s="326"/>
      <c r="AE225" s="326"/>
      <c r="AF225" s="326"/>
      <c r="AG225" s="326"/>
      <c r="AH225" s="326"/>
      <c r="AJ225" s="508"/>
      <c r="AK225" s="307"/>
      <c r="AL225" s="307"/>
      <c r="AM225" s="307"/>
      <c r="AN225" s="307"/>
      <c r="AO225" s="307"/>
      <c r="AP225" s="307"/>
      <c r="AQ225" s="307"/>
      <c r="AR225" s="307"/>
      <c r="AS225" s="307"/>
      <c r="AT225" s="307"/>
      <c r="AU225" s="307"/>
      <c r="AV225" s="307"/>
      <c r="AW225" s="307"/>
      <c r="AX225" s="307"/>
      <c r="AY225" s="307"/>
    </row>
    <row r="226" spans="1:51" s="305" customFormat="1" ht="12" customHeight="1" x14ac:dyDescent="0.25">
      <c r="A226" s="1455" t="s">
        <v>157</v>
      </c>
      <c r="B226" s="1455"/>
      <c r="C226" s="1455"/>
      <c r="D226" s="1455"/>
      <c r="E226" s="1455"/>
      <c r="F226" s="1455"/>
      <c r="G226" s="1455"/>
      <c r="H226" s="1455"/>
      <c r="I226" s="1455"/>
      <c r="J226" s="1455"/>
      <c r="K226" s="1455"/>
      <c r="L226" s="1455"/>
      <c r="M226" s="1455"/>
      <c r="N226" s="1455"/>
      <c r="O226" s="1455"/>
      <c r="P226" s="1455"/>
      <c r="Q226" s="1455"/>
      <c r="R226" s="1455"/>
      <c r="S226" s="1455"/>
      <c r="T226" s="1455"/>
      <c r="U226" s="1455"/>
      <c r="V226" s="1455"/>
      <c r="W226" s="1455"/>
      <c r="X226" s="1455"/>
      <c r="Y226" s="1455"/>
      <c r="Z226" s="1455"/>
      <c r="AA226" s="1455"/>
      <c r="AB226" s="1455"/>
      <c r="AC226" s="1455"/>
      <c r="AD226" s="1455"/>
      <c r="AE226" s="1455"/>
      <c r="AF226" s="1455"/>
      <c r="AG226" s="1455"/>
      <c r="AH226" s="1455"/>
      <c r="AJ226" s="651"/>
    </row>
    <row r="227" spans="1:51" s="308" customFormat="1" ht="11.25" customHeight="1" x14ac:dyDescent="0.25">
      <c r="A227" s="326"/>
      <c r="B227" s="326"/>
      <c r="C227" s="326"/>
      <c r="D227" s="326"/>
      <c r="E227" s="326"/>
      <c r="F227" s="326"/>
      <c r="G227" s="326"/>
      <c r="H227" s="326"/>
      <c r="I227" s="326"/>
      <c r="J227" s="326"/>
      <c r="K227" s="326"/>
      <c r="L227" s="326"/>
      <c r="M227" s="326"/>
      <c r="N227" s="326"/>
      <c r="O227" s="326"/>
      <c r="P227" s="326"/>
      <c r="Q227" s="326"/>
      <c r="R227" s="326"/>
      <c r="S227" s="326"/>
      <c r="T227" s="326"/>
      <c r="U227" s="326"/>
      <c r="V227" s="326"/>
      <c r="W227" s="326"/>
      <c r="X227" s="326"/>
      <c r="Y227" s="326"/>
      <c r="Z227" s="326"/>
      <c r="AA227" s="326"/>
      <c r="AB227" s="326"/>
      <c r="AC227" s="326"/>
      <c r="AD227" s="326"/>
      <c r="AE227" s="326"/>
      <c r="AF227" s="326"/>
      <c r="AG227" s="326"/>
      <c r="AH227" s="326"/>
      <c r="AJ227" s="508"/>
      <c r="AK227" s="307"/>
      <c r="AL227" s="307"/>
      <c r="AM227" s="307"/>
      <c r="AN227" s="307"/>
      <c r="AO227" s="307"/>
      <c r="AP227" s="307"/>
      <c r="AQ227" s="307"/>
      <c r="AR227" s="307"/>
      <c r="AS227" s="307"/>
      <c r="AT227" s="307"/>
      <c r="AU227" s="307"/>
      <c r="AV227" s="307"/>
      <c r="AW227" s="307"/>
      <c r="AX227" s="307"/>
      <c r="AY227" s="307"/>
    </row>
    <row r="228" spans="1:51" s="308" customFormat="1" ht="27.75" customHeight="1" x14ac:dyDescent="0.25">
      <c r="A228" s="1454" t="s">
        <v>158</v>
      </c>
      <c r="B228" s="1454"/>
      <c r="C228" s="1454"/>
      <c r="D228" s="1454"/>
      <c r="E228" s="1454"/>
      <c r="F228" s="1454"/>
      <c r="G228" s="1454"/>
      <c r="H228" s="1454"/>
      <c r="I228" s="1454"/>
      <c r="J228" s="1454"/>
      <c r="K228" s="1454"/>
      <c r="L228" s="1454"/>
      <c r="M228" s="1454"/>
      <c r="N228" s="1454"/>
      <c r="O228" s="1454"/>
      <c r="P228" s="1454"/>
      <c r="Q228" s="1454"/>
      <c r="R228" s="1454"/>
      <c r="S228" s="1454"/>
      <c r="T228" s="1454"/>
      <c r="U228" s="1454"/>
      <c r="V228" s="1454"/>
      <c r="W228" s="1454"/>
      <c r="X228" s="1454"/>
      <c r="Y228" s="1454"/>
      <c r="Z228" s="1454"/>
      <c r="AA228" s="1454"/>
      <c r="AB228" s="1454"/>
      <c r="AC228" s="1454"/>
      <c r="AD228" s="1454"/>
      <c r="AE228" s="1454"/>
      <c r="AF228" s="1454"/>
      <c r="AG228" s="1454"/>
      <c r="AH228" s="1454"/>
      <c r="AJ228" s="512"/>
    </row>
    <row r="229" spans="1:51" s="308" customFormat="1" ht="11.25" customHeight="1" x14ac:dyDescent="0.25">
      <c r="A229" s="326"/>
      <c r="B229" s="326"/>
      <c r="C229" s="326"/>
      <c r="D229" s="326"/>
      <c r="E229" s="326"/>
      <c r="F229" s="326"/>
      <c r="G229" s="326"/>
      <c r="H229" s="326"/>
      <c r="I229" s="326"/>
      <c r="J229" s="326"/>
      <c r="K229" s="326"/>
      <c r="L229" s="326"/>
      <c r="M229" s="326"/>
      <c r="N229" s="326"/>
      <c r="O229" s="326"/>
      <c r="P229" s="326"/>
      <c r="Q229" s="326"/>
      <c r="R229" s="326"/>
      <c r="S229" s="326"/>
      <c r="T229" s="326"/>
      <c r="U229" s="326"/>
      <c r="V229" s="326"/>
      <c r="W229" s="326"/>
      <c r="X229" s="326"/>
      <c r="Y229" s="326"/>
      <c r="Z229" s="326"/>
      <c r="AA229" s="326"/>
      <c r="AB229" s="326"/>
      <c r="AC229" s="326"/>
      <c r="AD229" s="326"/>
      <c r="AE229" s="326"/>
      <c r="AF229" s="326"/>
      <c r="AG229" s="326"/>
      <c r="AH229" s="326"/>
      <c r="AJ229" s="508"/>
      <c r="AK229" s="307"/>
      <c r="AL229" s="307"/>
      <c r="AM229" s="307"/>
      <c r="AN229" s="307"/>
      <c r="AO229" s="307"/>
      <c r="AP229" s="307"/>
      <c r="AQ229" s="307"/>
      <c r="AR229" s="307"/>
      <c r="AS229" s="307"/>
      <c r="AT229" s="307"/>
      <c r="AU229" s="307"/>
      <c r="AV229" s="307"/>
      <c r="AW229" s="307"/>
      <c r="AX229" s="307"/>
      <c r="AY229" s="307"/>
    </row>
    <row r="230" spans="1:51" s="308" customFormat="1" ht="14.25" customHeight="1" x14ac:dyDescent="0.25">
      <c r="A230" s="1454" t="s">
        <v>159</v>
      </c>
      <c r="B230" s="1454"/>
      <c r="C230" s="1454"/>
      <c r="D230" s="1454"/>
      <c r="E230" s="1454"/>
      <c r="F230" s="1454"/>
      <c r="G230" s="1454"/>
      <c r="H230" s="1454"/>
      <c r="I230" s="1454"/>
      <c r="J230" s="1454"/>
      <c r="K230" s="1454"/>
      <c r="L230" s="1454"/>
      <c r="M230" s="1454" t="s">
        <v>160</v>
      </c>
      <c r="N230" s="1454"/>
      <c r="O230" s="1454"/>
      <c r="P230" s="1454"/>
      <c r="Q230" s="1454"/>
      <c r="R230" s="1454"/>
      <c r="S230" s="1454"/>
      <c r="T230" s="1454"/>
      <c r="U230" s="1454"/>
      <c r="V230" s="1454"/>
      <c r="W230" s="1454"/>
      <c r="X230" s="1454"/>
      <c r="Y230" s="1454"/>
      <c r="Z230" s="1454"/>
      <c r="AA230" s="1454"/>
      <c r="AB230" s="1454"/>
      <c r="AC230" s="1454"/>
      <c r="AD230" s="1454"/>
      <c r="AE230" s="1454"/>
      <c r="AF230" s="1454"/>
      <c r="AG230" s="1454"/>
      <c r="AH230" s="1454"/>
      <c r="AJ230" s="512"/>
    </row>
    <row r="231" spans="1:51" s="308" customFormat="1" ht="14.25" customHeight="1" x14ac:dyDescent="0.25">
      <c r="A231" s="1454" t="s">
        <v>161</v>
      </c>
      <c r="B231" s="1454"/>
      <c r="C231" s="1454"/>
      <c r="D231" s="1454"/>
      <c r="E231" s="1454"/>
      <c r="F231" s="1454"/>
      <c r="G231" s="1454"/>
      <c r="H231" s="1454"/>
      <c r="I231" s="1454"/>
      <c r="J231" s="1454"/>
      <c r="K231" s="1454"/>
      <c r="L231" s="1454"/>
      <c r="M231" s="1454" t="s">
        <v>162</v>
      </c>
      <c r="N231" s="1454"/>
      <c r="O231" s="1454"/>
      <c r="P231" s="1454"/>
      <c r="Q231" s="1454"/>
      <c r="R231" s="1454"/>
      <c r="S231" s="1454"/>
      <c r="T231" s="1454"/>
      <c r="U231" s="1454"/>
      <c r="V231" s="1454"/>
      <c r="W231" s="1454"/>
      <c r="X231" s="1454"/>
      <c r="Y231" s="1454"/>
      <c r="Z231" s="1454"/>
      <c r="AA231" s="1454"/>
      <c r="AB231" s="1454"/>
      <c r="AC231" s="1454"/>
      <c r="AD231" s="1454"/>
      <c r="AE231" s="1454"/>
      <c r="AF231" s="1454"/>
      <c r="AG231" s="1454"/>
      <c r="AH231" s="1454"/>
      <c r="AJ231" s="512"/>
    </row>
    <row r="232" spans="1:51" s="308" customFormat="1" ht="14.25" customHeight="1" x14ac:dyDescent="0.25">
      <c r="A232" s="1454" t="s">
        <v>163</v>
      </c>
      <c r="B232" s="1454"/>
      <c r="C232" s="1454"/>
      <c r="D232" s="1454"/>
      <c r="E232" s="1454"/>
      <c r="F232" s="1454"/>
      <c r="G232" s="1454"/>
      <c r="H232" s="1454"/>
      <c r="I232" s="1454"/>
      <c r="J232" s="1454"/>
      <c r="K232" s="1454"/>
      <c r="L232" s="1454"/>
      <c r="M232" s="1454">
        <v>1</v>
      </c>
      <c r="N232" s="1454"/>
      <c r="O232" s="1454"/>
      <c r="P232" s="1454"/>
      <c r="Q232" s="1454"/>
      <c r="R232" s="1454"/>
      <c r="S232" s="1454"/>
      <c r="T232" s="1454"/>
      <c r="U232" s="1454"/>
      <c r="V232" s="1454"/>
      <c r="W232" s="1454"/>
      <c r="X232" s="1454"/>
      <c r="Y232" s="1454"/>
      <c r="Z232" s="1454"/>
      <c r="AA232" s="1454"/>
      <c r="AB232" s="1454"/>
      <c r="AC232" s="1454"/>
      <c r="AD232" s="1454"/>
      <c r="AE232" s="1454"/>
      <c r="AF232" s="1454"/>
      <c r="AG232" s="1454"/>
      <c r="AH232" s="1454"/>
      <c r="AJ232" s="512"/>
    </row>
    <row r="233" spans="1:51" s="308" customFormat="1" ht="25.65" customHeight="1" x14ac:dyDescent="0.25">
      <c r="A233" s="1454" t="s">
        <v>164</v>
      </c>
      <c r="B233" s="1454"/>
      <c r="C233" s="1454"/>
      <c r="D233" s="1454"/>
      <c r="E233" s="1454"/>
      <c r="F233" s="1454"/>
      <c r="G233" s="1454"/>
      <c r="H233" s="1454"/>
      <c r="I233" s="1454"/>
      <c r="J233" s="1454"/>
      <c r="K233" s="1454"/>
      <c r="L233" s="1454"/>
      <c r="M233" s="1454" t="s">
        <v>165</v>
      </c>
      <c r="N233" s="1454"/>
      <c r="O233" s="1454"/>
      <c r="P233" s="1454"/>
      <c r="Q233" s="1454"/>
      <c r="R233" s="1454"/>
      <c r="S233" s="1454"/>
      <c r="T233" s="1454"/>
      <c r="U233" s="1454"/>
      <c r="V233" s="1454"/>
      <c r="W233" s="1454"/>
      <c r="X233" s="1454"/>
      <c r="Y233" s="1454"/>
      <c r="Z233" s="1454"/>
      <c r="AA233" s="1454"/>
      <c r="AB233" s="1454"/>
      <c r="AC233" s="1454"/>
      <c r="AD233" s="1454"/>
      <c r="AE233" s="1454"/>
      <c r="AF233" s="1454"/>
      <c r="AG233" s="1454"/>
      <c r="AH233" s="1454"/>
      <c r="AJ233" s="512"/>
    </row>
    <row r="234" spans="1:51" s="308" customFormat="1" ht="11.25" customHeight="1" x14ac:dyDescent="0.25">
      <c r="A234" s="326"/>
      <c r="B234" s="326"/>
      <c r="C234" s="326"/>
      <c r="D234" s="326"/>
      <c r="E234" s="326"/>
      <c r="F234" s="326"/>
      <c r="G234" s="326"/>
      <c r="H234" s="326"/>
      <c r="I234" s="326"/>
      <c r="J234" s="326"/>
      <c r="K234" s="326"/>
      <c r="L234" s="326"/>
      <c r="M234" s="326"/>
      <c r="N234" s="326"/>
      <c r="O234" s="326"/>
      <c r="P234" s="326"/>
      <c r="Q234" s="326"/>
      <c r="R234" s="326"/>
      <c r="S234" s="326"/>
      <c r="T234" s="326"/>
      <c r="U234" s="326"/>
      <c r="V234" s="326"/>
      <c r="W234" s="326"/>
      <c r="X234" s="326"/>
      <c r="Y234" s="326"/>
      <c r="Z234" s="326"/>
      <c r="AA234" s="326"/>
      <c r="AB234" s="326"/>
      <c r="AC234" s="326"/>
      <c r="AD234" s="326"/>
      <c r="AE234" s="326"/>
      <c r="AF234" s="326"/>
      <c r="AG234" s="326"/>
      <c r="AH234" s="326"/>
      <c r="AJ234" s="508"/>
      <c r="AK234" s="307"/>
      <c r="AL234" s="307"/>
      <c r="AM234" s="307"/>
      <c r="AN234" s="307"/>
      <c r="AO234" s="307"/>
      <c r="AP234" s="307"/>
      <c r="AQ234" s="307"/>
      <c r="AR234" s="307"/>
      <c r="AS234" s="307"/>
      <c r="AT234" s="307"/>
      <c r="AU234" s="307"/>
      <c r="AV234" s="307"/>
      <c r="AW234" s="307"/>
      <c r="AX234" s="307"/>
      <c r="AY234" s="307"/>
    </row>
    <row r="235" spans="1:51" s="308" customFormat="1" ht="14.25" customHeight="1" x14ac:dyDescent="0.25">
      <c r="A235" s="1454" t="s">
        <v>166</v>
      </c>
      <c r="B235" s="1454"/>
      <c r="C235" s="1454"/>
      <c r="D235" s="1454"/>
      <c r="E235" s="1454"/>
      <c r="F235" s="1454"/>
      <c r="G235" s="1454"/>
      <c r="H235" s="1454"/>
      <c r="I235" s="1454"/>
      <c r="J235" s="1454"/>
      <c r="K235" s="1454"/>
      <c r="L235" s="1454"/>
      <c r="M235" s="1454"/>
      <c r="N235" s="1454"/>
      <c r="O235" s="1454"/>
      <c r="P235" s="1454"/>
      <c r="Q235" s="1454"/>
      <c r="R235" s="1454"/>
      <c r="S235" s="1454"/>
      <c r="T235" s="1454"/>
      <c r="U235" s="1454"/>
      <c r="V235" s="1454"/>
      <c r="W235" s="1454"/>
      <c r="X235" s="1454"/>
      <c r="Y235" s="1454"/>
      <c r="Z235" s="1454"/>
      <c r="AA235" s="1454"/>
      <c r="AB235" s="1454"/>
      <c r="AC235" s="1454"/>
      <c r="AD235" s="1454"/>
      <c r="AE235" s="1454"/>
      <c r="AF235" s="1454"/>
      <c r="AG235" s="1454"/>
      <c r="AH235" s="1454"/>
      <c r="AJ235" s="512"/>
    </row>
    <row r="236" spans="1:51" s="308" customFormat="1" ht="11.25" customHeight="1" x14ac:dyDescent="0.25">
      <c r="A236" s="326"/>
      <c r="B236" s="326"/>
      <c r="C236" s="326"/>
      <c r="D236" s="326"/>
      <c r="E236" s="326"/>
      <c r="F236" s="326"/>
      <c r="G236" s="326"/>
      <c r="H236" s="326"/>
      <c r="I236" s="326"/>
      <c r="J236" s="326"/>
      <c r="K236" s="326"/>
      <c r="L236" s="326"/>
      <c r="M236" s="326"/>
      <c r="N236" s="326"/>
      <c r="O236" s="326"/>
      <c r="P236" s="326"/>
      <c r="Q236" s="326"/>
      <c r="R236" s="326"/>
      <c r="S236" s="326"/>
      <c r="T236" s="326"/>
      <c r="U236" s="326"/>
      <c r="V236" s="326"/>
      <c r="W236" s="326"/>
      <c r="X236" s="326"/>
      <c r="Y236" s="326"/>
      <c r="Z236" s="326"/>
      <c r="AA236" s="326"/>
      <c r="AB236" s="326"/>
      <c r="AC236" s="326"/>
      <c r="AD236" s="326"/>
      <c r="AE236" s="326"/>
      <c r="AF236" s="326"/>
      <c r="AG236" s="326"/>
      <c r="AH236" s="326"/>
      <c r="AJ236" s="508"/>
      <c r="AK236" s="307"/>
      <c r="AL236" s="307"/>
      <c r="AM236" s="307"/>
      <c r="AN236" s="307"/>
      <c r="AO236" s="307"/>
      <c r="AP236" s="307"/>
      <c r="AQ236" s="307"/>
      <c r="AR236" s="307"/>
      <c r="AS236" s="307"/>
      <c r="AT236" s="307"/>
      <c r="AU236" s="307"/>
      <c r="AV236" s="307"/>
      <c r="AW236" s="307"/>
      <c r="AX236" s="307"/>
      <c r="AY236" s="307"/>
    </row>
    <row r="237" spans="1:51" s="305" customFormat="1" ht="12" customHeight="1" x14ac:dyDescent="0.25">
      <c r="A237" s="1455" t="s">
        <v>167</v>
      </c>
      <c r="B237" s="1455"/>
      <c r="C237" s="1455"/>
      <c r="D237" s="1455"/>
      <c r="E237" s="1455"/>
      <c r="F237" s="1455"/>
      <c r="G237" s="1455"/>
      <c r="H237" s="1455"/>
      <c r="I237" s="1455"/>
      <c r="J237" s="1455"/>
      <c r="K237" s="1455"/>
      <c r="L237" s="1455"/>
      <c r="M237" s="1455"/>
      <c r="N237" s="1455"/>
      <c r="O237" s="1455"/>
      <c r="P237" s="1455"/>
      <c r="Q237" s="1455"/>
      <c r="R237" s="1455"/>
      <c r="S237" s="1455"/>
      <c r="T237" s="1455"/>
      <c r="U237" s="1455"/>
      <c r="V237" s="1455"/>
      <c r="W237" s="1455"/>
      <c r="X237" s="1455"/>
      <c r="Y237" s="1455"/>
      <c r="Z237" s="1455"/>
      <c r="AA237" s="1455"/>
      <c r="AB237" s="1455"/>
      <c r="AC237" s="1455"/>
      <c r="AD237" s="1455"/>
      <c r="AE237" s="1455"/>
      <c r="AF237" s="1455"/>
      <c r="AG237" s="1455"/>
      <c r="AH237" s="1455"/>
      <c r="AJ237" s="651"/>
    </row>
    <row r="238" spans="1:51" s="308" customFormat="1" ht="11.25" customHeight="1" x14ac:dyDescent="0.25">
      <c r="A238" s="326"/>
      <c r="B238" s="326"/>
      <c r="C238" s="326"/>
      <c r="D238" s="326"/>
      <c r="E238" s="326"/>
      <c r="F238" s="326"/>
      <c r="G238" s="326"/>
      <c r="H238" s="326"/>
      <c r="I238" s="326"/>
      <c r="J238" s="326"/>
      <c r="K238" s="326"/>
      <c r="L238" s="326"/>
      <c r="M238" s="326"/>
      <c r="N238" s="326"/>
      <c r="O238" s="326"/>
      <c r="P238" s="326"/>
      <c r="Q238" s="326"/>
      <c r="R238" s="326"/>
      <c r="S238" s="326"/>
      <c r="T238" s="326"/>
      <c r="U238" s="326"/>
      <c r="V238" s="326"/>
      <c r="W238" s="326"/>
      <c r="X238" s="326"/>
      <c r="Y238" s="326"/>
      <c r="Z238" s="326"/>
      <c r="AA238" s="326"/>
      <c r="AB238" s="326"/>
      <c r="AC238" s="326"/>
      <c r="AD238" s="326"/>
      <c r="AE238" s="326"/>
      <c r="AF238" s="326"/>
      <c r="AG238" s="326"/>
      <c r="AH238" s="326"/>
      <c r="AJ238" s="508"/>
      <c r="AK238" s="307"/>
      <c r="AL238" s="307"/>
      <c r="AM238" s="307"/>
      <c r="AN238" s="307"/>
      <c r="AO238" s="307"/>
      <c r="AP238" s="307"/>
      <c r="AQ238" s="307"/>
      <c r="AR238" s="307"/>
      <c r="AS238" s="307"/>
      <c r="AT238" s="307"/>
      <c r="AU238" s="307"/>
      <c r="AV238" s="307"/>
      <c r="AW238" s="307"/>
      <c r="AX238" s="307"/>
      <c r="AY238" s="307"/>
    </row>
    <row r="239" spans="1:51" s="308" customFormat="1" ht="13.8" x14ac:dyDescent="0.25">
      <c r="A239" s="1454" t="s">
        <v>168</v>
      </c>
      <c r="B239" s="1454"/>
      <c r="C239" s="1454"/>
      <c r="D239" s="1454"/>
      <c r="E239" s="1454"/>
      <c r="F239" s="1454"/>
      <c r="G239" s="1454"/>
      <c r="H239" s="1454"/>
      <c r="I239" s="1454"/>
      <c r="J239" s="1454"/>
      <c r="K239" s="1454"/>
      <c r="L239" s="1454"/>
      <c r="M239" s="1454"/>
      <c r="N239" s="1454"/>
      <c r="O239" s="1454"/>
      <c r="P239" s="1454"/>
      <c r="Q239" s="1454"/>
      <c r="R239" s="1454"/>
      <c r="S239" s="1454"/>
      <c r="T239" s="1454"/>
      <c r="U239" s="1454"/>
      <c r="V239" s="1454"/>
      <c r="W239" s="1454"/>
      <c r="X239" s="1454"/>
      <c r="Y239" s="1454"/>
      <c r="Z239" s="1454"/>
      <c r="AA239" s="1454"/>
      <c r="AB239" s="1454"/>
      <c r="AC239" s="1454"/>
      <c r="AD239" s="1454"/>
      <c r="AE239" s="1454"/>
      <c r="AF239" s="1454"/>
      <c r="AG239" s="1454"/>
      <c r="AH239" s="1454"/>
      <c r="AJ239" s="512"/>
    </row>
    <row r="240" spans="1:51" s="308" customFormat="1" ht="13.8" x14ac:dyDescent="0.25">
      <c r="A240" s="1454" t="s">
        <v>169</v>
      </c>
      <c r="B240" s="1454"/>
      <c r="C240" s="1454"/>
      <c r="D240" s="1454"/>
      <c r="E240" s="1454"/>
      <c r="F240" s="1454"/>
      <c r="G240" s="1454"/>
      <c r="H240" s="1454"/>
      <c r="I240" s="1454"/>
      <c r="J240" s="1454"/>
      <c r="K240" s="1454"/>
      <c r="L240" s="1454"/>
      <c r="M240" s="1454"/>
      <c r="N240" s="1454"/>
      <c r="O240" s="1454"/>
      <c r="P240" s="1454"/>
      <c r="Q240" s="1454"/>
      <c r="R240" s="1454"/>
      <c r="S240" s="1454"/>
      <c r="T240" s="1454"/>
      <c r="U240" s="1454"/>
      <c r="V240" s="1454"/>
      <c r="W240" s="1454"/>
      <c r="X240" s="1454"/>
      <c r="Y240" s="1454"/>
      <c r="Z240" s="1454"/>
      <c r="AA240" s="1454"/>
      <c r="AB240" s="1454"/>
      <c r="AC240" s="1454"/>
      <c r="AD240" s="1454"/>
      <c r="AE240" s="1454"/>
      <c r="AF240" s="1454"/>
      <c r="AG240" s="1454"/>
      <c r="AH240" s="1454"/>
      <c r="AJ240" s="512"/>
    </row>
    <row r="241" spans="1:51" s="308" customFormat="1" ht="26.4" customHeight="1" x14ac:dyDescent="0.25">
      <c r="A241" s="1454" t="s">
        <v>170</v>
      </c>
      <c r="B241" s="1454"/>
      <c r="C241" s="1454"/>
      <c r="D241" s="1454"/>
      <c r="E241" s="1454"/>
      <c r="F241" s="1454"/>
      <c r="G241" s="1454"/>
      <c r="H241" s="1454"/>
      <c r="I241" s="1454"/>
      <c r="J241" s="1454"/>
      <c r="K241" s="1454"/>
      <c r="L241" s="1454"/>
      <c r="M241" s="1454"/>
      <c r="N241" s="1454"/>
      <c r="O241" s="1454"/>
      <c r="P241" s="1454"/>
      <c r="Q241" s="1454"/>
      <c r="R241" s="1454"/>
      <c r="S241" s="1454"/>
      <c r="T241" s="1454"/>
      <c r="U241" s="1454"/>
      <c r="V241" s="1454"/>
      <c r="W241" s="1454"/>
      <c r="X241" s="1454"/>
      <c r="Y241" s="1454"/>
      <c r="Z241" s="1454"/>
      <c r="AA241" s="1454"/>
      <c r="AB241" s="1454"/>
      <c r="AC241" s="1454"/>
      <c r="AD241" s="1454"/>
      <c r="AE241" s="1454"/>
      <c r="AF241" s="1454"/>
      <c r="AG241" s="1454"/>
      <c r="AH241" s="1454"/>
      <c r="AJ241" s="512"/>
    </row>
    <row r="242" spans="1:51" s="308" customFormat="1" ht="11.25" customHeight="1" x14ac:dyDescent="0.25">
      <c r="A242" s="326"/>
      <c r="B242" s="326"/>
      <c r="C242" s="326"/>
      <c r="D242" s="326"/>
      <c r="E242" s="326"/>
      <c r="F242" s="326"/>
      <c r="G242" s="326"/>
      <c r="H242" s="326"/>
      <c r="I242" s="326"/>
      <c r="J242" s="326"/>
      <c r="K242" s="326"/>
      <c r="L242" s="326"/>
      <c r="M242" s="326"/>
      <c r="N242" s="326"/>
      <c r="O242" s="326"/>
      <c r="P242" s="326"/>
      <c r="Q242" s="326"/>
      <c r="R242" s="326"/>
      <c r="S242" s="326"/>
      <c r="T242" s="326"/>
      <c r="U242" s="326"/>
      <c r="V242" s="326"/>
      <c r="W242" s="326"/>
      <c r="X242" s="326"/>
      <c r="Y242" s="326"/>
      <c r="Z242" s="326"/>
      <c r="AA242" s="326"/>
      <c r="AB242" s="326"/>
      <c r="AC242" s="326"/>
      <c r="AD242" s="326"/>
      <c r="AE242" s="326"/>
      <c r="AF242" s="326"/>
      <c r="AG242" s="326"/>
      <c r="AH242" s="326"/>
      <c r="AJ242" s="508"/>
      <c r="AK242" s="307"/>
      <c r="AL242" s="307"/>
      <c r="AM242" s="307"/>
      <c r="AN242" s="307"/>
      <c r="AO242" s="307"/>
      <c r="AP242" s="307"/>
      <c r="AQ242" s="307"/>
      <c r="AR242" s="307"/>
      <c r="AS242" s="307"/>
      <c r="AT242" s="307"/>
      <c r="AU242" s="307"/>
      <c r="AV242" s="307"/>
      <c r="AW242" s="307"/>
      <c r="AX242" s="307"/>
      <c r="AY242" s="307"/>
    </row>
    <row r="243" spans="1:51" s="305" customFormat="1" ht="12" customHeight="1" x14ac:dyDescent="0.25">
      <c r="A243" s="1455" t="s">
        <v>171</v>
      </c>
      <c r="B243" s="1455"/>
      <c r="C243" s="1455"/>
      <c r="D243" s="1455"/>
      <c r="E243" s="1455"/>
      <c r="F243" s="1455"/>
      <c r="G243" s="1455"/>
      <c r="H243" s="1455"/>
      <c r="I243" s="1455"/>
      <c r="J243" s="1455"/>
      <c r="K243" s="1455"/>
      <c r="L243" s="1455"/>
      <c r="M243" s="1455"/>
      <c r="N243" s="1455"/>
      <c r="O243" s="1455"/>
      <c r="P243" s="1455"/>
      <c r="Q243" s="1455"/>
      <c r="R243" s="1455"/>
      <c r="S243" s="1455"/>
      <c r="T243" s="1455"/>
      <c r="U243" s="1455"/>
      <c r="V243" s="1455"/>
      <c r="W243" s="1455"/>
      <c r="X243" s="1455"/>
      <c r="Y243" s="1455"/>
      <c r="Z243" s="1455"/>
      <c r="AA243" s="1455"/>
      <c r="AB243" s="1455"/>
      <c r="AC243" s="1455"/>
      <c r="AD243" s="1455"/>
      <c r="AE243" s="1455"/>
      <c r="AF243" s="1455"/>
      <c r="AG243" s="1455"/>
      <c r="AH243" s="1455"/>
      <c r="AJ243" s="651"/>
    </row>
    <row r="244" spans="1:51" s="308" customFormat="1" ht="11.25" customHeight="1" x14ac:dyDescent="0.25">
      <c r="A244" s="326"/>
      <c r="B244" s="326"/>
      <c r="C244" s="326"/>
      <c r="D244" s="326"/>
      <c r="E244" s="326"/>
      <c r="F244" s="326"/>
      <c r="G244" s="326"/>
      <c r="H244" s="326"/>
      <c r="I244" s="326"/>
      <c r="J244" s="326"/>
      <c r="K244" s="326"/>
      <c r="L244" s="326"/>
      <c r="M244" s="326"/>
      <c r="N244" s="326"/>
      <c r="O244" s="326"/>
      <c r="P244" s="326"/>
      <c r="Q244" s="326"/>
      <c r="R244" s="326"/>
      <c r="S244" s="326"/>
      <c r="T244" s="326"/>
      <c r="U244" s="326"/>
      <c r="V244" s="326"/>
      <c r="W244" s="326"/>
      <c r="X244" s="326"/>
      <c r="Y244" s="326"/>
      <c r="Z244" s="326"/>
      <c r="AA244" s="326"/>
      <c r="AB244" s="326"/>
      <c r="AC244" s="326"/>
      <c r="AD244" s="326"/>
      <c r="AE244" s="326"/>
      <c r="AF244" s="326"/>
      <c r="AG244" s="326"/>
      <c r="AH244" s="326"/>
      <c r="AJ244" s="508"/>
      <c r="AK244" s="307"/>
      <c r="AL244" s="307"/>
      <c r="AM244" s="307"/>
      <c r="AN244" s="307"/>
      <c r="AO244" s="307"/>
      <c r="AP244" s="307"/>
      <c r="AQ244" s="307"/>
      <c r="AR244" s="307"/>
      <c r="AS244" s="307"/>
      <c r="AT244" s="307"/>
      <c r="AU244" s="307"/>
      <c r="AV244" s="307"/>
      <c r="AW244" s="307"/>
      <c r="AX244" s="307"/>
      <c r="AY244" s="307"/>
    </row>
    <row r="245" spans="1:51" s="308" customFormat="1" ht="13.65" customHeight="1" x14ac:dyDescent="0.25">
      <c r="A245" s="1454" t="s">
        <v>168</v>
      </c>
      <c r="B245" s="1454"/>
      <c r="C245" s="1454"/>
      <c r="D245" s="1454"/>
      <c r="E245" s="1454"/>
      <c r="F245" s="1454"/>
      <c r="G245" s="1454"/>
      <c r="H245" s="1454"/>
      <c r="I245" s="1454"/>
      <c r="J245" s="1454"/>
      <c r="K245" s="1454"/>
      <c r="L245" s="1454"/>
      <c r="M245" s="1454"/>
      <c r="N245" s="1454"/>
      <c r="O245" s="1454"/>
      <c r="P245" s="1454"/>
      <c r="Q245" s="1454"/>
      <c r="R245" s="1454"/>
      <c r="S245" s="1454"/>
      <c r="T245" s="1454"/>
      <c r="U245" s="1454"/>
      <c r="V245" s="1454"/>
      <c r="W245" s="1454"/>
      <c r="X245" s="1454"/>
      <c r="Y245" s="1454"/>
      <c r="Z245" s="1454"/>
      <c r="AA245" s="1454"/>
      <c r="AB245" s="1454"/>
      <c r="AC245" s="1454"/>
      <c r="AD245" s="1454"/>
      <c r="AE245" s="1454"/>
      <c r="AF245" s="1454"/>
      <c r="AG245" s="1454"/>
      <c r="AH245" s="1454"/>
      <c r="AJ245" s="512"/>
    </row>
    <row r="246" spans="1:51" s="308" customFormat="1" ht="13.65" customHeight="1" x14ac:dyDescent="0.25">
      <c r="A246" s="1454" t="s">
        <v>169</v>
      </c>
      <c r="B246" s="1454"/>
      <c r="C246" s="1454"/>
      <c r="D246" s="1454"/>
      <c r="E246" s="1454"/>
      <c r="F246" s="1454"/>
      <c r="G246" s="1454"/>
      <c r="H246" s="1454"/>
      <c r="I246" s="1454"/>
      <c r="J246" s="1454"/>
      <c r="K246" s="1454"/>
      <c r="L246" s="1454"/>
      <c r="M246" s="1454"/>
      <c r="N246" s="1454"/>
      <c r="O246" s="1454"/>
      <c r="P246" s="1454"/>
      <c r="Q246" s="1454"/>
      <c r="R246" s="1454"/>
      <c r="S246" s="1454"/>
      <c r="T246" s="1454"/>
      <c r="U246" s="1454"/>
      <c r="V246" s="1454"/>
      <c r="W246" s="1454"/>
      <c r="X246" s="1454"/>
      <c r="Y246" s="1454"/>
      <c r="Z246" s="1454"/>
      <c r="AA246" s="1454"/>
      <c r="AB246" s="1454"/>
      <c r="AC246" s="1454"/>
      <c r="AD246" s="1454"/>
      <c r="AE246" s="1454"/>
      <c r="AF246" s="1454"/>
      <c r="AG246" s="1454"/>
      <c r="AH246" s="1454"/>
      <c r="AJ246" s="512"/>
    </row>
    <row r="247" spans="1:51" s="308" customFormat="1" ht="13.65" customHeight="1" x14ac:dyDescent="0.25">
      <c r="A247" s="1454" t="s">
        <v>172</v>
      </c>
      <c r="B247" s="1454"/>
      <c r="C247" s="1454"/>
      <c r="D247" s="1454"/>
      <c r="E247" s="1454"/>
      <c r="F247" s="1454"/>
      <c r="G247" s="1454"/>
      <c r="H247" s="1454"/>
      <c r="I247" s="1454"/>
      <c r="J247" s="1454"/>
      <c r="K247" s="1454"/>
      <c r="L247" s="1454"/>
      <c r="M247" s="1454"/>
      <c r="N247" s="1454"/>
      <c r="O247" s="1454"/>
      <c r="P247" s="1454"/>
      <c r="Q247" s="1454"/>
      <c r="R247" s="1454"/>
      <c r="S247" s="1454"/>
      <c r="T247" s="1454"/>
      <c r="U247" s="1454"/>
      <c r="V247" s="1454"/>
      <c r="W247" s="1454"/>
      <c r="X247" s="1454"/>
      <c r="Y247" s="1454"/>
      <c r="Z247" s="1454"/>
      <c r="AA247" s="1454"/>
      <c r="AB247" s="1454"/>
      <c r="AC247" s="1454"/>
      <c r="AD247" s="1454"/>
      <c r="AE247" s="1454"/>
      <c r="AF247" s="1454"/>
      <c r="AG247" s="1454"/>
      <c r="AH247" s="1454"/>
      <c r="AJ247" s="512"/>
    </row>
    <row r="248" spans="1:51" s="308" customFormat="1" ht="11.25" customHeight="1" x14ac:dyDescent="0.25">
      <c r="A248" s="326"/>
      <c r="B248" s="326"/>
      <c r="C248" s="326"/>
      <c r="D248" s="326"/>
      <c r="E248" s="326"/>
      <c r="F248" s="326"/>
      <c r="G248" s="326"/>
      <c r="H248" s="326"/>
      <c r="I248" s="326"/>
      <c r="J248" s="326"/>
      <c r="K248" s="326"/>
      <c r="L248" s="326"/>
      <c r="M248" s="326"/>
      <c r="N248" s="326"/>
      <c r="O248" s="326"/>
      <c r="P248" s="326"/>
      <c r="Q248" s="326"/>
      <c r="R248" s="326"/>
      <c r="S248" s="326"/>
      <c r="T248" s="326"/>
      <c r="U248" s="326"/>
      <c r="V248" s="326"/>
      <c r="W248" s="326"/>
      <c r="X248" s="326"/>
      <c r="Y248" s="326"/>
      <c r="Z248" s="326"/>
      <c r="AA248" s="326"/>
      <c r="AB248" s="326"/>
      <c r="AC248" s="326"/>
      <c r="AD248" s="326"/>
      <c r="AE248" s="326"/>
      <c r="AF248" s="326"/>
      <c r="AG248" s="326"/>
      <c r="AH248" s="326"/>
      <c r="AJ248" s="508"/>
      <c r="AK248" s="307"/>
      <c r="AL248" s="307"/>
      <c r="AM248" s="307"/>
      <c r="AN248" s="307"/>
      <c r="AO248" s="307"/>
      <c r="AP248" s="307"/>
      <c r="AQ248" s="307"/>
      <c r="AR248" s="307"/>
      <c r="AS248" s="307"/>
      <c r="AT248" s="307"/>
      <c r="AU248" s="307"/>
      <c r="AV248" s="307"/>
      <c r="AW248" s="307"/>
      <c r="AX248" s="307"/>
      <c r="AY248" s="307"/>
    </row>
    <row r="249" spans="1:51" s="305" customFormat="1" ht="12" customHeight="1" x14ac:dyDescent="0.25">
      <c r="A249" s="1455" t="s">
        <v>173</v>
      </c>
      <c r="B249" s="1455"/>
      <c r="C249" s="1455"/>
      <c r="D249" s="1455"/>
      <c r="E249" s="1455"/>
      <c r="F249" s="1455"/>
      <c r="G249" s="1455"/>
      <c r="H249" s="1455"/>
      <c r="I249" s="1455"/>
      <c r="J249" s="1455"/>
      <c r="K249" s="1455"/>
      <c r="L249" s="1455"/>
      <c r="M249" s="1455"/>
      <c r="N249" s="1455"/>
      <c r="O249" s="1455"/>
      <c r="P249" s="1455"/>
      <c r="Q249" s="1455"/>
      <c r="R249" s="1455"/>
      <c r="S249" s="1455"/>
      <c r="T249" s="1455"/>
      <c r="U249" s="1455"/>
      <c r="V249" s="1455"/>
      <c r="W249" s="1455"/>
      <c r="X249" s="1455"/>
      <c r="Y249" s="1455"/>
      <c r="Z249" s="1455"/>
      <c r="AA249" s="1455"/>
      <c r="AB249" s="1455"/>
      <c r="AC249" s="1455"/>
      <c r="AD249" s="1455"/>
      <c r="AE249" s="1455"/>
      <c r="AF249" s="1455"/>
      <c r="AG249" s="1455"/>
      <c r="AH249" s="1455"/>
      <c r="AJ249" s="651"/>
    </row>
    <row r="250" spans="1:51" s="308" customFormat="1" ht="11.25" customHeight="1" x14ac:dyDescent="0.25">
      <c r="A250" s="326"/>
      <c r="B250" s="326"/>
      <c r="C250" s="326"/>
      <c r="D250" s="326"/>
      <c r="E250" s="326"/>
      <c r="F250" s="326"/>
      <c r="G250" s="326"/>
      <c r="H250" s="326"/>
      <c r="I250" s="326"/>
      <c r="J250" s="326"/>
      <c r="K250" s="326"/>
      <c r="L250" s="326"/>
      <c r="M250" s="326"/>
      <c r="N250" s="326"/>
      <c r="O250" s="326"/>
      <c r="P250" s="326"/>
      <c r="Q250" s="326"/>
      <c r="R250" s="326"/>
      <c r="S250" s="326"/>
      <c r="T250" s="326"/>
      <c r="U250" s="326"/>
      <c r="V250" s="326"/>
      <c r="W250" s="326"/>
      <c r="X250" s="326"/>
      <c r="Y250" s="326"/>
      <c r="Z250" s="326"/>
      <c r="AA250" s="326"/>
      <c r="AB250" s="326"/>
      <c r="AC250" s="326"/>
      <c r="AD250" s="326"/>
      <c r="AE250" s="326"/>
      <c r="AF250" s="326"/>
      <c r="AG250" s="326"/>
      <c r="AH250" s="326"/>
      <c r="AJ250" s="508"/>
      <c r="AK250" s="307"/>
      <c r="AL250" s="307"/>
      <c r="AM250" s="307"/>
      <c r="AN250" s="307"/>
      <c r="AO250" s="307"/>
      <c r="AP250" s="307"/>
      <c r="AQ250" s="307"/>
      <c r="AR250" s="307"/>
      <c r="AS250" s="307"/>
      <c r="AT250" s="307"/>
      <c r="AU250" s="307"/>
      <c r="AV250" s="307"/>
      <c r="AW250" s="307"/>
      <c r="AX250" s="307"/>
      <c r="AY250" s="307"/>
    </row>
    <row r="251" spans="1:51" s="308" customFormat="1" ht="27.75" customHeight="1" x14ac:dyDescent="0.25">
      <c r="A251" s="1454" t="s">
        <v>174</v>
      </c>
      <c r="B251" s="1454"/>
      <c r="C251" s="1454"/>
      <c r="D251" s="1454"/>
      <c r="E251" s="1454"/>
      <c r="F251" s="1454"/>
      <c r="G251" s="1454"/>
      <c r="H251" s="1454"/>
      <c r="I251" s="1454"/>
      <c r="J251" s="1454"/>
      <c r="K251" s="1454"/>
      <c r="L251" s="1454"/>
      <c r="M251" s="1454"/>
      <c r="N251" s="1454"/>
      <c r="O251" s="1454"/>
      <c r="P251" s="1454"/>
      <c r="Q251" s="1454"/>
      <c r="R251" s="1454"/>
      <c r="S251" s="1454"/>
      <c r="T251" s="1454"/>
      <c r="U251" s="1454"/>
      <c r="V251" s="1454"/>
      <c r="W251" s="1454"/>
      <c r="X251" s="1454"/>
      <c r="Y251" s="1454"/>
      <c r="Z251" s="1454"/>
      <c r="AA251" s="1454"/>
      <c r="AB251" s="1454"/>
      <c r="AC251" s="1454"/>
      <c r="AD251" s="1454"/>
      <c r="AE251" s="1454"/>
      <c r="AF251" s="1454"/>
      <c r="AG251" s="1454"/>
      <c r="AH251" s="1454"/>
      <c r="AJ251" s="512"/>
    </row>
    <row r="252" spans="1:51" s="308" customFormat="1" ht="11.25" customHeight="1" x14ac:dyDescent="0.25">
      <c r="A252" s="326"/>
      <c r="B252" s="326"/>
      <c r="C252" s="326"/>
      <c r="D252" s="326"/>
      <c r="E252" s="326"/>
      <c r="F252" s="326"/>
      <c r="G252" s="326"/>
      <c r="H252" s="326"/>
      <c r="I252" s="326"/>
      <c r="J252" s="326"/>
      <c r="K252" s="326"/>
      <c r="L252" s="326"/>
      <c r="M252" s="326"/>
      <c r="N252" s="326"/>
      <c r="O252" s="326"/>
      <c r="P252" s="326"/>
      <c r="Q252" s="326"/>
      <c r="R252" s="326"/>
      <c r="S252" s="326"/>
      <c r="T252" s="326"/>
      <c r="U252" s="326"/>
      <c r="V252" s="326"/>
      <c r="W252" s="326"/>
      <c r="X252" s="326"/>
      <c r="Y252" s="326"/>
      <c r="Z252" s="326"/>
      <c r="AA252" s="326"/>
      <c r="AB252" s="326"/>
      <c r="AC252" s="326"/>
      <c r="AD252" s="326"/>
      <c r="AE252" s="326"/>
      <c r="AF252" s="326"/>
      <c r="AG252" s="326"/>
      <c r="AH252" s="326"/>
      <c r="AJ252" s="508"/>
      <c r="AK252" s="307"/>
      <c r="AL252" s="307"/>
      <c r="AM252" s="307"/>
      <c r="AN252" s="307"/>
      <c r="AO252" s="307"/>
      <c r="AP252" s="307"/>
      <c r="AQ252" s="307"/>
      <c r="AR252" s="307"/>
      <c r="AS252" s="307"/>
      <c r="AT252" s="307"/>
      <c r="AU252" s="307"/>
      <c r="AV252" s="307"/>
      <c r="AW252" s="307"/>
      <c r="AX252" s="307"/>
      <c r="AY252" s="307"/>
    </row>
    <row r="253" spans="1:51" s="308" customFormat="1" ht="14.25" customHeight="1" x14ac:dyDescent="0.25">
      <c r="A253" s="1454" t="s">
        <v>159</v>
      </c>
      <c r="B253" s="1454"/>
      <c r="C253" s="1454"/>
      <c r="D253" s="1454"/>
      <c r="E253" s="1454"/>
      <c r="F253" s="1454"/>
      <c r="G253" s="1454"/>
      <c r="H253" s="1454"/>
      <c r="I253" s="1454"/>
      <c r="J253" s="1454"/>
      <c r="K253" s="1454"/>
      <c r="L253" s="1454"/>
      <c r="M253" s="1454" t="s">
        <v>160</v>
      </c>
      <c r="N253" s="1454"/>
      <c r="O253" s="1454"/>
      <c r="P253" s="1454"/>
      <c r="Q253" s="1454"/>
      <c r="R253" s="1454"/>
      <c r="S253" s="1454"/>
      <c r="T253" s="1454"/>
      <c r="U253" s="1454"/>
      <c r="V253" s="1454"/>
      <c r="W253" s="1454"/>
      <c r="X253" s="1454"/>
      <c r="Y253" s="1454"/>
      <c r="Z253" s="1454"/>
      <c r="AA253" s="1454"/>
      <c r="AB253" s="1454"/>
      <c r="AC253" s="1454"/>
      <c r="AD253" s="1454"/>
      <c r="AE253" s="1454"/>
      <c r="AF253" s="1454"/>
      <c r="AG253" s="1454"/>
      <c r="AH253" s="1454"/>
      <c r="AJ253" s="512"/>
    </row>
    <row r="254" spans="1:51" s="308" customFormat="1" ht="14.25" customHeight="1" x14ac:dyDescent="0.25">
      <c r="A254" s="1454" t="s">
        <v>161</v>
      </c>
      <c r="B254" s="1454"/>
      <c r="C254" s="1454"/>
      <c r="D254" s="1454"/>
      <c r="E254" s="1454"/>
      <c r="F254" s="1454"/>
      <c r="G254" s="1454"/>
      <c r="H254" s="1454"/>
      <c r="I254" s="1454"/>
      <c r="J254" s="1454"/>
      <c r="K254" s="1454"/>
      <c r="L254" s="1454"/>
      <c r="M254" s="1454" t="s">
        <v>175</v>
      </c>
      <c r="N254" s="1454"/>
      <c r="O254" s="1454"/>
      <c r="P254" s="1454"/>
      <c r="Q254" s="1454"/>
      <c r="R254" s="1454"/>
      <c r="S254" s="1454"/>
      <c r="T254" s="1454"/>
      <c r="U254" s="1454"/>
      <c r="V254" s="1454"/>
      <c r="W254" s="1454"/>
      <c r="X254" s="1454"/>
      <c r="Y254" s="1454"/>
      <c r="Z254" s="1454"/>
      <c r="AA254" s="1454"/>
      <c r="AB254" s="1454"/>
      <c r="AC254" s="1454"/>
      <c r="AD254" s="1454"/>
      <c r="AE254" s="1454"/>
      <c r="AF254" s="1454"/>
      <c r="AG254" s="1454"/>
      <c r="AH254" s="1454"/>
      <c r="AJ254" s="512"/>
    </row>
    <row r="255" spans="1:51" s="308" customFormat="1" ht="14.25" customHeight="1" x14ac:dyDescent="0.25">
      <c r="A255" s="1454" t="s">
        <v>163</v>
      </c>
      <c r="B255" s="1454"/>
      <c r="C255" s="1454"/>
      <c r="D255" s="1454"/>
      <c r="E255" s="1454"/>
      <c r="F255" s="1454"/>
      <c r="G255" s="1454"/>
      <c r="H255" s="1454"/>
      <c r="I255" s="1454"/>
      <c r="J255" s="1454"/>
      <c r="K255" s="1454"/>
      <c r="L255" s="1454"/>
      <c r="M255" s="1454">
        <v>1</v>
      </c>
      <c r="N255" s="1454"/>
      <c r="O255" s="1454"/>
      <c r="P255" s="1454"/>
      <c r="Q255" s="1454"/>
      <c r="R255" s="1454"/>
      <c r="S255" s="1454"/>
      <c r="T255" s="1454"/>
      <c r="U255" s="1454"/>
      <c r="V255" s="1454"/>
      <c r="W255" s="1454"/>
      <c r="X255" s="1454"/>
      <c r="Y255" s="1454"/>
      <c r="Z255" s="1454"/>
      <c r="AA255" s="1454"/>
      <c r="AB255" s="1454"/>
      <c r="AC255" s="1454"/>
      <c r="AD255" s="1454"/>
      <c r="AE255" s="1454"/>
      <c r="AF255" s="1454"/>
      <c r="AG255" s="1454"/>
      <c r="AH255" s="1454"/>
      <c r="AJ255" s="512"/>
    </row>
    <row r="256" spans="1:51" s="308" customFormat="1" ht="25.65" customHeight="1" x14ac:dyDescent="0.25">
      <c r="A256" s="1454" t="s">
        <v>164</v>
      </c>
      <c r="B256" s="1454"/>
      <c r="C256" s="1454"/>
      <c r="D256" s="1454"/>
      <c r="E256" s="1454"/>
      <c r="F256" s="1454"/>
      <c r="G256" s="1454"/>
      <c r="H256" s="1454"/>
      <c r="I256" s="1454"/>
      <c r="J256" s="1454"/>
      <c r="K256" s="1454"/>
      <c r="L256" s="1454"/>
      <c r="M256" s="1454" t="s">
        <v>165</v>
      </c>
      <c r="N256" s="1454"/>
      <c r="O256" s="1454"/>
      <c r="P256" s="1454"/>
      <c r="Q256" s="1454"/>
      <c r="R256" s="1454"/>
      <c r="S256" s="1454"/>
      <c r="T256" s="1454"/>
      <c r="U256" s="1454"/>
      <c r="V256" s="1454"/>
      <c r="W256" s="1454"/>
      <c r="X256" s="1454"/>
      <c r="Y256" s="1454"/>
      <c r="Z256" s="1454"/>
      <c r="AA256" s="1454"/>
      <c r="AB256" s="1454"/>
      <c r="AC256" s="1454"/>
      <c r="AD256" s="1454"/>
      <c r="AE256" s="1454"/>
      <c r="AF256" s="1454"/>
      <c r="AG256" s="1454"/>
      <c r="AH256" s="1454"/>
      <c r="AJ256" s="512"/>
    </row>
    <row r="257" spans="1:51" s="308" customFormat="1" ht="11.25" customHeight="1" x14ac:dyDescent="0.25">
      <c r="A257" s="326"/>
      <c r="B257" s="326"/>
      <c r="C257" s="326"/>
      <c r="D257" s="326"/>
      <c r="E257" s="326"/>
      <c r="F257" s="326"/>
      <c r="G257" s="326"/>
      <c r="H257" s="326"/>
      <c r="I257" s="326"/>
      <c r="J257" s="326"/>
      <c r="K257" s="326"/>
      <c r="L257" s="326"/>
      <c r="M257" s="326"/>
      <c r="N257" s="326"/>
      <c r="O257" s="326"/>
      <c r="P257" s="326"/>
      <c r="Q257" s="326"/>
      <c r="R257" s="326"/>
      <c r="S257" s="326"/>
      <c r="T257" s="326"/>
      <c r="U257" s="326"/>
      <c r="V257" s="326"/>
      <c r="W257" s="326"/>
      <c r="X257" s="326"/>
      <c r="Y257" s="326"/>
      <c r="Z257" s="326"/>
      <c r="AA257" s="326"/>
      <c r="AB257" s="326"/>
      <c r="AC257" s="326"/>
      <c r="AD257" s="326"/>
      <c r="AE257" s="326"/>
      <c r="AF257" s="326"/>
      <c r="AG257" s="326"/>
      <c r="AH257" s="326"/>
      <c r="AJ257" s="508"/>
      <c r="AK257" s="307"/>
      <c r="AL257" s="307"/>
      <c r="AM257" s="307"/>
      <c r="AN257" s="307"/>
      <c r="AO257" s="307"/>
      <c r="AP257" s="307"/>
      <c r="AQ257" s="307"/>
      <c r="AR257" s="307"/>
      <c r="AS257" s="307"/>
      <c r="AT257" s="307"/>
      <c r="AU257" s="307"/>
      <c r="AV257" s="307"/>
      <c r="AW257" s="307"/>
      <c r="AX257" s="307"/>
      <c r="AY257" s="307"/>
    </row>
    <row r="258" spans="1:51" s="308" customFormat="1" ht="14.25" customHeight="1" x14ac:dyDescent="0.25">
      <c r="A258" s="1454" t="s">
        <v>166</v>
      </c>
      <c r="B258" s="1454"/>
      <c r="C258" s="1454"/>
      <c r="D258" s="1454"/>
      <c r="E258" s="1454"/>
      <c r="F258" s="1454"/>
      <c r="G258" s="1454"/>
      <c r="H258" s="1454"/>
      <c r="I258" s="1454"/>
      <c r="J258" s="1454"/>
      <c r="K258" s="1454"/>
      <c r="L258" s="1454"/>
      <c r="M258" s="1454"/>
      <c r="N258" s="1454"/>
      <c r="O258" s="1454"/>
      <c r="P258" s="1454"/>
      <c r="Q258" s="1454"/>
      <c r="R258" s="1454"/>
      <c r="S258" s="1454"/>
      <c r="T258" s="1454"/>
      <c r="U258" s="1454"/>
      <c r="V258" s="1454"/>
      <c r="W258" s="1454"/>
      <c r="X258" s="1454"/>
      <c r="Y258" s="1454"/>
      <c r="Z258" s="1454"/>
      <c r="AA258" s="1454"/>
      <c r="AB258" s="1454"/>
      <c r="AC258" s="1454"/>
      <c r="AD258" s="1454"/>
      <c r="AE258" s="1454"/>
      <c r="AF258" s="1454"/>
      <c r="AG258" s="1454"/>
      <c r="AH258" s="1454"/>
      <c r="AJ258" s="512"/>
    </row>
    <row r="259" spans="1:51" s="308" customFormat="1" ht="11.25" customHeight="1" x14ac:dyDescent="0.25">
      <c r="A259" s="326"/>
      <c r="B259" s="326"/>
      <c r="C259" s="326"/>
      <c r="D259" s="326"/>
      <c r="E259" s="326"/>
      <c r="F259" s="326"/>
      <c r="G259" s="326"/>
      <c r="H259" s="326"/>
      <c r="I259" s="326"/>
      <c r="J259" s="326"/>
      <c r="K259" s="326"/>
      <c r="L259" s="326"/>
      <c r="M259" s="326"/>
      <c r="N259" s="326"/>
      <c r="O259" s="326"/>
      <c r="P259" s="326"/>
      <c r="Q259" s="326"/>
      <c r="R259" s="326"/>
      <c r="S259" s="326"/>
      <c r="T259" s="326"/>
      <c r="U259" s="326"/>
      <c r="V259" s="326"/>
      <c r="W259" s="326"/>
      <c r="X259" s="326"/>
      <c r="Y259" s="326"/>
      <c r="Z259" s="326"/>
      <c r="AA259" s="326"/>
      <c r="AB259" s="326"/>
      <c r="AC259" s="326"/>
      <c r="AD259" s="326"/>
      <c r="AE259" s="326"/>
      <c r="AF259" s="326"/>
      <c r="AG259" s="326"/>
      <c r="AH259" s="326"/>
      <c r="AJ259" s="508"/>
      <c r="AK259" s="307"/>
      <c r="AL259" s="307"/>
      <c r="AM259" s="307"/>
      <c r="AN259" s="307"/>
      <c r="AO259" s="307"/>
      <c r="AP259" s="307"/>
      <c r="AQ259" s="307"/>
      <c r="AR259" s="307"/>
      <c r="AS259" s="307"/>
      <c r="AT259" s="307"/>
      <c r="AU259" s="307"/>
      <c r="AV259" s="307"/>
      <c r="AW259" s="307"/>
      <c r="AX259" s="307"/>
      <c r="AY259" s="307"/>
    </row>
    <row r="260" spans="1:51" s="305" customFormat="1" ht="12" customHeight="1" x14ac:dyDescent="0.25">
      <c r="A260" s="1455" t="s">
        <v>176</v>
      </c>
      <c r="B260" s="1455"/>
      <c r="C260" s="1455"/>
      <c r="D260" s="1455"/>
      <c r="E260" s="1455"/>
      <c r="F260" s="1455"/>
      <c r="G260" s="1455"/>
      <c r="H260" s="1455"/>
      <c r="I260" s="1455"/>
      <c r="J260" s="1455"/>
      <c r="K260" s="1455"/>
      <c r="L260" s="1455"/>
      <c r="M260" s="1455"/>
      <c r="N260" s="1455"/>
      <c r="O260" s="1455"/>
      <c r="P260" s="1455"/>
      <c r="Q260" s="1455"/>
      <c r="R260" s="1455"/>
      <c r="S260" s="1455"/>
      <c r="T260" s="1455"/>
      <c r="U260" s="1455"/>
      <c r="V260" s="1455"/>
      <c r="W260" s="1455"/>
      <c r="X260" s="1455"/>
      <c r="Y260" s="1455"/>
      <c r="Z260" s="1455"/>
      <c r="AA260" s="1455"/>
      <c r="AB260" s="1455"/>
      <c r="AC260" s="1455"/>
      <c r="AD260" s="1455"/>
      <c r="AE260" s="1455"/>
      <c r="AF260" s="1455"/>
      <c r="AG260" s="1455"/>
      <c r="AH260" s="1455"/>
      <c r="AJ260" s="651"/>
    </row>
    <row r="261" spans="1:51" s="308" customFormat="1" ht="11.25" customHeight="1" x14ac:dyDescent="0.25">
      <c r="A261" s="326"/>
      <c r="B261" s="326"/>
      <c r="C261" s="326"/>
      <c r="D261" s="326"/>
      <c r="E261" s="326"/>
      <c r="F261" s="326"/>
      <c r="G261" s="326"/>
      <c r="H261" s="326"/>
      <c r="I261" s="326"/>
      <c r="J261" s="326"/>
      <c r="K261" s="326"/>
      <c r="L261" s="326"/>
      <c r="M261" s="326"/>
      <c r="N261" s="326"/>
      <c r="O261" s="326"/>
      <c r="P261" s="326"/>
      <c r="Q261" s="326"/>
      <c r="R261" s="326"/>
      <c r="S261" s="326"/>
      <c r="T261" s="326"/>
      <c r="U261" s="326"/>
      <c r="V261" s="326"/>
      <c r="W261" s="326"/>
      <c r="X261" s="326"/>
      <c r="Y261" s="326"/>
      <c r="Z261" s="326"/>
      <c r="AA261" s="326"/>
      <c r="AB261" s="326"/>
      <c r="AC261" s="326"/>
      <c r="AD261" s="326"/>
      <c r="AE261" s="326"/>
      <c r="AF261" s="326"/>
      <c r="AG261" s="326"/>
      <c r="AH261" s="326"/>
      <c r="AJ261" s="508"/>
      <c r="AK261" s="307"/>
      <c r="AL261" s="307"/>
      <c r="AM261" s="307"/>
      <c r="AN261" s="307"/>
      <c r="AO261" s="307"/>
      <c r="AP261" s="307"/>
      <c r="AQ261" s="307"/>
      <c r="AR261" s="307"/>
      <c r="AS261" s="307"/>
      <c r="AT261" s="307"/>
      <c r="AU261" s="307"/>
      <c r="AV261" s="307"/>
      <c r="AW261" s="307"/>
      <c r="AX261" s="307"/>
      <c r="AY261" s="307"/>
    </row>
    <row r="262" spans="1:51" s="308" customFormat="1" ht="26.4" customHeight="1" x14ac:dyDescent="0.25">
      <c r="A262" s="1454" t="s">
        <v>177</v>
      </c>
      <c r="B262" s="1454"/>
      <c r="C262" s="1454"/>
      <c r="D262" s="1454"/>
      <c r="E262" s="1454"/>
      <c r="F262" s="1454"/>
      <c r="G262" s="1454"/>
      <c r="H262" s="1454"/>
      <c r="I262" s="1454"/>
      <c r="J262" s="1454"/>
      <c r="K262" s="1454"/>
      <c r="L262" s="1454"/>
      <c r="M262" s="1454"/>
      <c r="N262" s="1454"/>
      <c r="O262" s="1454"/>
      <c r="P262" s="1454"/>
      <c r="Q262" s="1454"/>
      <c r="R262" s="1454"/>
      <c r="S262" s="1454"/>
      <c r="T262" s="1454"/>
      <c r="U262" s="1454"/>
      <c r="V262" s="1454"/>
      <c r="W262" s="1454"/>
      <c r="X262" s="1454"/>
      <c r="Y262" s="1454"/>
      <c r="Z262" s="1454"/>
      <c r="AA262" s="1454"/>
      <c r="AB262" s="1454"/>
      <c r="AC262" s="1454"/>
      <c r="AD262" s="1454"/>
      <c r="AE262" s="1454"/>
      <c r="AF262" s="1454"/>
      <c r="AG262" s="1454"/>
      <c r="AH262" s="1454"/>
      <c r="AJ262" s="512"/>
    </row>
    <row r="263" spans="1:51" s="308" customFormat="1" ht="13.8" x14ac:dyDescent="0.25">
      <c r="A263" s="1454" t="s">
        <v>178</v>
      </c>
      <c r="B263" s="1454"/>
      <c r="C263" s="1454"/>
      <c r="D263" s="1454"/>
      <c r="E263" s="1454"/>
      <c r="F263" s="1454"/>
      <c r="G263" s="1454"/>
      <c r="H263" s="1454"/>
      <c r="I263" s="1454"/>
      <c r="J263" s="1454"/>
      <c r="K263" s="1454"/>
      <c r="L263" s="1454"/>
      <c r="M263" s="1454"/>
      <c r="N263" s="1454"/>
      <c r="O263" s="1454"/>
      <c r="P263" s="1454"/>
      <c r="Q263" s="1454"/>
      <c r="R263" s="1454"/>
      <c r="S263" s="1454"/>
      <c r="T263" s="1454"/>
      <c r="U263" s="1454"/>
      <c r="V263" s="1454"/>
      <c r="W263" s="1454"/>
      <c r="X263" s="1454"/>
      <c r="Y263" s="1454"/>
      <c r="Z263" s="1454"/>
      <c r="AA263" s="1454"/>
      <c r="AB263" s="1454"/>
      <c r="AC263" s="1454"/>
      <c r="AD263" s="1454"/>
      <c r="AE263" s="1454"/>
      <c r="AF263" s="1454"/>
      <c r="AG263" s="1454"/>
      <c r="AH263" s="1454"/>
      <c r="AJ263" s="512"/>
    </row>
    <row r="264" spans="1:51" s="308" customFormat="1" ht="13.8" x14ac:dyDescent="0.25">
      <c r="A264" s="1454" t="s">
        <v>179</v>
      </c>
      <c r="B264" s="1454"/>
      <c r="C264" s="1454"/>
      <c r="D264" s="1454"/>
      <c r="E264" s="1454"/>
      <c r="F264" s="1454"/>
      <c r="G264" s="1454"/>
      <c r="H264" s="1454"/>
      <c r="I264" s="1454"/>
      <c r="J264" s="1454"/>
      <c r="K264" s="1454"/>
      <c r="L264" s="1454"/>
      <c r="M264" s="1454"/>
      <c r="N264" s="1454"/>
      <c r="O264" s="1454"/>
      <c r="P264" s="1454"/>
      <c r="Q264" s="1454"/>
      <c r="R264" s="1454"/>
      <c r="S264" s="1454"/>
      <c r="T264" s="1454"/>
      <c r="U264" s="1454"/>
      <c r="V264" s="1454"/>
      <c r="W264" s="1454"/>
      <c r="X264" s="1454"/>
      <c r="Y264" s="1454"/>
      <c r="Z264" s="1454"/>
      <c r="AA264" s="1454"/>
      <c r="AB264" s="1454"/>
      <c r="AC264" s="1454"/>
      <c r="AD264" s="1454"/>
      <c r="AE264" s="1454"/>
      <c r="AF264" s="1454"/>
      <c r="AG264" s="1454"/>
      <c r="AH264" s="1454"/>
      <c r="AJ264" s="512"/>
    </row>
    <row r="265" spans="1:51" s="308" customFormat="1" ht="11.25" customHeight="1" x14ac:dyDescent="0.25">
      <c r="A265" s="326"/>
      <c r="B265" s="326"/>
      <c r="C265" s="326"/>
      <c r="D265" s="326"/>
      <c r="E265" s="326"/>
      <c r="F265" s="326"/>
      <c r="G265" s="326"/>
      <c r="H265" s="326"/>
      <c r="I265" s="326"/>
      <c r="J265" s="326"/>
      <c r="K265" s="326"/>
      <c r="L265" s="326"/>
      <c r="M265" s="326"/>
      <c r="N265" s="326"/>
      <c r="O265" s="326"/>
      <c r="P265" s="326"/>
      <c r="Q265" s="326"/>
      <c r="R265" s="326"/>
      <c r="S265" s="326"/>
      <c r="T265" s="326"/>
      <c r="U265" s="326"/>
      <c r="V265" s="326"/>
      <c r="W265" s="326"/>
      <c r="X265" s="326"/>
      <c r="Y265" s="326"/>
      <c r="Z265" s="326"/>
      <c r="AA265" s="326"/>
      <c r="AB265" s="326"/>
      <c r="AC265" s="326"/>
      <c r="AD265" s="326"/>
      <c r="AE265" s="326"/>
      <c r="AF265" s="326"/>
      <c r="AG265" s="326"/>
      <c r="AH265" s="326"/>
      <c r="AJ265" s="508"/>
      <c r="AK265" s="307"/>
      <c r="AL265" s="307"/>
      <c r="AM265" s="307"/>
      <c r="AN265" s="307"/>
      <c r="AO265" s="307"/>
      <c r="AP265" s="307"/>
      <c r="AQ265" s="307"/>
      <c r="AR265" s="307"/>
      <c r="AS265" s="307"/>
      <c r="AT265" s="307"/>
      <c r="AU265" s="307"/>
      <c r="AV265" s="307"/>
      <c r="AW265" s="307"/>
      <c r="AX265" s="307"/>
      <c r="AY265" s="307"/>
    </row>
    <row r="266" spans="1:51" s="305" customFormat="1" ht="12" customHeight="1" x14ac:dyDescent="0.25">
      <c r="A266" s="1455" t="s">
        <v>180</v>
      </c>
      <c r="B266" s="1455"/>
      <c r="C266" s="1455"/>
      <c r="D266" s="1455"/>
      <c r="E266" s="1455"/>
      <c r="F266" s="1455"/>
      <c r="G266" s="1455"/>
      <c r="H266" s="1455"/>
      <c r="I266" s="1455"/>
      <c r="J266" s="1455"/>
      <c r="K266" s="1455"/>
      <c r="L266" s="1455"/>
      <c r="M266" s="1455"/>
      <c r="N266" s="1455"/>
      <c r="O266" s="1455"/>
      <c r="P266" s="1455"/>
      <c r="Q266" s="1455"/>
      <c r="R266" s="1455"/>
      <c r="S266" s="1455"/>
      <c r="T266" s="1455"/>
      <c r="U266" s="1455"/>
      <c r="V266" s="1455"/>
      <c r="W266" s="1455"/>
      <c r="X266" s="1455"/>
      <c r="Y266" s="1455"/>
      <c r="Z266" s="1455"/>
      <c r="AA266" s="1455"/>
      <c r="AB266" s="1455"/>
      <c r="AC266" s="1455"/>
      <c r="AD266" s="1455"/>
      <c r="AE266" s="1455"/>
      <c r="AF266" s="1455"/>
      <c r="AG266" s="1455"/>
      <c r="AH266" s="1455"/>
      <c r="AJ266" s="651"/>
    </row>
    <row r="267" spans="1:51" s="308" customFormat="1" ht="11.25" customHeight="1" x14ac:dyDescent="0.25">
      <c r="A267" s="326"/>
      <c r="B267" s="326"/>
      <c r="C267" s="326"/>
      <c r="D267" s="326"/>
      <c r="E267" s="326"/>
      <c r="F267" s="326"/>
      <c r="G267" s="326"/>
      <c r="H267" s="326"/>
      <c r="I267" s="326"/>
      <c r="J267" s="326"/>
      <c r="K267" s="326"/>
      <c r="L267" s="326"/>
      <c r="M267" s="326"/>
      <c r="N267" s="326"/>
      <c r="O267" s="326"/>
      <c r="P267" s="326"/>
      <c r="Q267" s="326"/>
      <c r="R267" s="326"/>
      <c r="S267" s="326"/>
      <c r="T267" s="326"/>
      <c r="U267" s="326"/>
      <c r="V267" s="326"/>
      <c r="W267" s="326"/>
      <c r="X267" s="326"/>
      <c r="Y267" s="326"/>
      <c r="Z267" s="326"/>
      <c r="AA267" s="326"/>
      <c r="AB267" s="326"/>
      <c r="AC267" s="326"/>
      <c r="AD267" s="326"/>
      <c r="AE267" s="326"/>
      <c r="AF267" s="326"/>
      <c r="AG267" s="326"/>
      <c r="AH267" s="326"/>
      <c r="AJ267" s="508"/>
      <c r="AK267" s="307"/>
      <c r="AL267" s="307"/>
      <c r="AM267" s="307"/>
      <c r="AN267" s="307"/>
      <c r="AO267" s="307"/>
      <c r="AP267" s="307"/>
      <c r="AQ267" s="307"/>
      <c r="AR267" s="307"/>
      <c r="AS267" s="307"/>
      <c r="AT267" s="307"/>
      <c r="AU267" s="307"/>
      <c r="AV267" s="307"/>
      <c r="AW267" s="307"/>
      <c r="AX267" s="307"/>
      <c r="AY267" s="307"/>
    </row>
    <row r="268" spans="1:51" s="305" customFormat="1" ht="12" customHeight="1" x14ac:dyDescent="0.25">
      <c r="A268" s="1455" t="s">
        <v>181</v>
      </c>
      <c r="B268" s="1455"/>
      <c r="C268" s="1455"/>
      <c r="D268" s="1455"/>
      <c r="E268" s="1455"/>
      <c r="F268" s="1455"/>
      <c r="G268" s="1455"/>
      <c r="H268" s="1455"/>
      <c r="I268" s="1455"/>
      <c r="J268" s="1455"/>
      <c r="K268" s="1455"/>
      <c r="L268" s="1455"/>
      <c r="M268" s="1455"/>
      <c r="N268" s="1455"/>
      <c r="O268" s="1455"/>
      <c r="P268" s="1455"/>
      <c r="Q268" s="1455"/>
      <c r="R268" s="1455"/>
      <c r="S268" s="1455"/>
      <c r="T268" s="1455"/>
      <c r="U268" s="1455"/>
      <c r="V268" s="1455"/>
      <c r="W268" s="1455"/>
      <c r="X268" s="1455"/>
      <c r="Y268" s="1455"/>
      <c r="Z268" s="1455"/>
      <c r="AA268" s="1455"/>
      <c r="AB268" s="1455"/>
      <c r="AC268" s="1455"/>
      <c r="AD268" s="1455"/>
      <c r="AE268" s="1455"/>
      <c r="AF268" s="1455"/>
      <c r="AG268" s="1455"/>
      <c r="AH268" s="1455"/>
      <c r="AJ268" s="651"/>
    </row>
    <row r="269" spans="1:51" s="308" customFormat="1" ht="11.25" customHeight="1" x14ac:dyDescent="0.25">
      <c r="A269" s="326"/>
      <c r="B269" s="326"/>
      <c r="C269" s="326"/>
      <c r="D269" s="326"/>
      <c r="E269" s="326"/>
      <c r="F269" s="326"/>
      <c r="G269" s="326"/>
      <c r="H269" s="326"/>
      <c r="I269" s="326"/>
      <c r="J269" s="326"/>
      <c r="K269" s="326"/>
      <c r="L269" s="326"/>
      <c r="M269" s="326"/>
      <c r="N269" s="326"/>
      <c r="O269" s="326"/>
      <c r="P269" s="326"/>
      <c r="Q269" s="326"/>
      <c r="R269" s="326"/>
      <c r="S269" s="326"/>
      <c r="T269" s="326"/>
      <c r="U269" s="326"/>
      <c r="V269" s="326"/>
      <c r="W269" s="326"/>
      <c r="X269" s="326"/>
      <c r="Y269" s="326"/>
      <c r="Z269" s="326"/>
      <c r="AA269" s="326"/>
      <c r="AB269" s="326"/>
      <c r="AC269" s="326"/>
      <c r="AD269" s="326"/>
      <c r="AE269" s="326"/>
      <c r="AF269" s="326"/>
      <c r="AG269" s="326"/>
      <c r="AH269" s="326"/>
      <c r="AJ269" s="508"/>
      <c r="AK269" s="307"/>
      <c r="AL269" s="307"/>
      <c r="AM269" s="307"/>
      <c r="AN269" s="307"/>
      <c r="AO269" s="307"/>
      <c r="AP269" s="307"/>
      <c r="AQ269" s="307"/>
      <c r="AR269" s="307"/>
      <c r="AS269" s="307"/>
      <c r="AT269" s="307"/>
      <c r="AU269" s="307"/>
      <c r="AV269" s="307"/>
      <c r="AW269" s="307"/>
      <c r="AX269" s="307"/>
      <c r="AY269" s="307"/>
    </row>
    <row r="270" spans="1:51" s="308" customFormat="1" ht="14.25" customHeight="1" x14ac:dyDescent="0.25">
      <c r="A270" s="1454" t="s">
        <v>182</v>
      </c>
      <c r="B270" s="1454"/>
      <c r="C270" s="1454"/>
      <c r="D270" s="1454"/>
      <c r="E270" s="1454"/>
      <c r="F270" s="1454"/>
      <c r="G270" s="1454"/>
      <c r="H270" s="1454"/>
      <c r="I270" s="1454"/>
      <c r="J270" s="1454"/>
      <c r="K270" s="1454"/>
      <c r="L270" s="1454"/>
      <c r="M270" s="1454"/>
      <c r="N270" s="1454"/>
      <c r="O270" s="1454"/>
      <c r="P270" s="1454"/>
      <c r="Q270" s="1454"/>
      <c r="R270" s="1454"/>
      <c r="S270" s="1454"/>
      <c r="T270" s="1454"/>
      <c r="U270" s="1454"/>
      <c r="V270" s="1454"/>
      <c r="W270" s="1454"/>
      <c r="X270" s="1454"/>
      <c r="Y270" s="1454"/>
      <c r="Z270" s="1454"/>
      <c r="AA270" s="1454"/>
      <c r="AB270" s="1454"/>
      <c r="AC270" s="1454"/>
      <c r="AD270" s="1454"/>
      <c r="AE270" s="1454"/>
      <c r="AF270" s="1454"/>
      <c r="AG270" s="1454"/>
      <c r="AH270" s="1454"/>
      <c r="AJ270" s="512"/>
    </row>
    <row r="271" spans="1:51" s="308" customFormat="1" ht="11.25" customHeight="1" x14ac:dyDescent="0.25">
      <c r="A271" s="326"/>
      <c r="B271" s="326"/>
      <c r="C271" s="326"/>
      <c r="D271" s="326"/>
      <c r="E271" s="326"/>
      <c r="F271" s="326"/>
      <c r="G271" s="326"/>
      <c r="H271" s="326"/>
      <c r="I271" s="326"/>
      <c r="J271" s="326"/>
      <c r="K271" s="326"/>
      <c r="L271" s="326"/>
      <c r="M271" s="326"/>
      <c r="N271" s="326"/>
      <c r="O271" s="326"/>
      <c r="P271" s="326"/>
      <c r="Q271" s="326"/>
      <c r="R271" s="326"/>
      <c r="S271" s="326"/>
      <c r="T271" s="326"/>
      <c r="U271" s="326"/>
      <c r="V271" s="326"/>
      <c r="W271" s="326"/>
      <c r="X271" s="326"/>
      <c r="Y271" s="326"/>
      <c r="Z271" s="326"/>
      <c r="AA271" s="326"/>
      <c r="AB271" s="326"/>
      <c r="AC271" s="326"/>
      <c r="AD271" s="326"/>
      <c r="AE271" s="326"/>
      <c r="AF271" s="326"/>
      <c r="AG271" s="326"/>
      <c r="AH271" s="326"/>
      <c r="AJ271" s="508"/>
      <c r="AK271" s="307"/>
      <c r="AL271" s="307"/>
      <c r="AM271" s="307"/>
      <c r="AN271" s="307"/>
      <c r="AO271" s="307"/>
      <c r="AP271" s="307"/>
      <c r="AQ271" s="307"/>
      <c r="AR271" s="307"/>
      <c r="AS271" s="307"/>
      <c r="AT271" s="307"/>
      <c r="AU271" s="307"/>
      <c r="AV271" s="307"/>
      <c r="AW271" s="307"/>
      <c r="AX271" s="307"/>
      <c r="AY271" s="307"/>
    </row>
    <row r="272" spans="1:51" s="305" customFormat="1" ht="12" customHeight="1" x14ac:dyDescent="0.25">
      <c r="A272" s="1455" t="s">
        <v>183</v>
      </c>
      <c r="B272" s="1455"/>
      <c r="C272" s="1455"/>
      <c r="D272" s="1455"/>
      <c r="E272" s="1455"/>
      <c r="F272" s="1455"/>
      <c r="G272" s="1455"/>
      <c r="H272" s="1455"/>
      <c r="I272" s="1455"/>
      <c r="J272" s="1455"/>
      <c r="K272" s="1455"/>
      <c r="L272" s="1455"/>
      <c r="M272" s="1455"/>
      <c r="N272" s="1455"/>
      <c r="O272" s="1455"/>
      <c r="P272" s="1455"/>
      <c r="Q272" s="1455"/>
      <c r="R272" s="1455"/>
      <c r="S272" s="1455"/>
      <c r="T272" s="1455"/>
      <c r="U272" s="1455"/>
      <c r="V272" s="1455"/>
      <c r="W272" s="1455"/>
      <c r="X272" s="1455"/>
      <c r="Y272" s="1455"/>
      <c r="Z272" s="1455"/>
      <c r="AA272" s="1455"/>
      <c r="AB272" s="1455"/>
      <c r="AC272" s="1455"/>
      <c r="AD272" s="1455"/>
      <c r="AE272" s="1455"/>
      <c r="AF272" s="1455"/>
      <c r="AG272" s="1455"/>
      <c r="AH272" s="1455"/>
      <c r="AJ272" s="651"/>
    </row>
    <row r="273" spans="1:51" s="308" customFormat="1" ht="11.25" customHeight="1" x14ac:dyDescent="0.25">
      <c r="A273" s="326"/>
      <c r="B273" s="326"/>
      <c r="C273" s="326"/>
      <c r="D273" s="326"/>
      <c r="E273" s="326"/>
      <c r="F273" s="326"/>
      <c r="G273" s="326"/>
      <c r="H273" s="326"/>
      <c r="I273" s="326"/>
      <c r="J273" s="326"/>
      <c r="K273" s="326"/>
      <c r="L273" s="326"/>
      <c r="M273" s="326"/>
      <c r="N273" s="326"/>
      <c r="O273" s="326"/>
      <c r="P273" s="326"/>
      <c r="Q273" s="326"/>
      <c r="R273" s="326"/>
      <c r="S273" s="326"/>
      <c r="T273" s="326"/>
      <c r="U273" s="326"/>
      <c r="V273" s="326"/>
      <c r="W273" s="326"/>
      <c r="X273" s="326"/>
      <c r="Y273" s="326"/>
      <c r="Z273" s="326"/>
      <c r="AA273" s="326"/>
      <c r="AB273" s="326"/>
      <c r="AC273" s="326"/>
      <c r="AD273" s="326"/>
      <c r="AE273" s="326"/>
      <c r="AF273" s="326"/>
      <c r="AG273" s="326"/>
      <c r="AH273" s="326"/>
      <c r="AJ273" s="508"/>
      <c r="AK273" s="307"/>
      <c r="AL273" s="307"/>
      <c r="AM273" s="307"/>
      <c r="AN273" s="307"/>
      <c r="AO273" s="307"/>
      <c r="AP273" s="307"/>
      <c r="AQ273" s="307"/>
      <c r="AR273" s="307"/>
      <c r="AS273" s="307"/>
      <c r="AT273" s="307"/>
      <c r="AU273" s="307"/>
      <c r="AV273" s="307"/>
      <c r="AW273" s="307"/>
      <c r="AX273" s="307"/>
      <c r="AY273" s="307"/>
    </row>
    <row r="274" spans="1:51" s="308" customFormat="1" ht="13.8" x14ac:dyDescent="0.25">
      <c r="A274" s="1454" t="s">
        <v>184</v>
      </c>
      <c r="B274" s="1454"/>
      <c r="C274" s="1454"/>
      <c r="D274" s="1454"/>
      <c r="E274" s="1454"/>
      <c r="F274" s="1454"/>
      <c r="G274" s="1454"/>
      <c r="H274" s="1454"/>
      <c r="I274" s="1454"/>
      <c r="J274" s="1454"/>
      <c r="K274" s="1454"/>
      <c r="L274" s="1454"/>
      <c r="M274" s="1454"/>
      <c r="N274" s="1454"/>
      <c r="O274" s="1454"/>
      <c r="P274" s="1454"/>
      <c r="Q274" s="1454"/>
      <c r="R274" s="1454"/>
      <c r="S274" s="1454"/>
      <c r="T274" s="1454"/>
      <c r="U274" s="1454"/>
      <c r="V274" s="1454"/>
      <c r="W274" s="1454"/>
      <c r="X274" s="1454"/>
      <c r="Y274" s="1454"/>
      <c r="Z274" s="1454"/>
      <c r="AA274" s="1454"/>
      <c r="AB274" s="1454"/>
      <c r="AC274" s="1454"/>
      <c r="AD274" s="1454"/>
      <c r="AE274" s="1454"/>
      <c r="AF274" s="1454"/>
      <c r="AG274" s="1454"/>
      <c r="AH274" s="1454"/>
      <c r="AJ274" s="512"/>
    </row>
    <row r="275" spans="1:51" s="308" customFormat="1" ht="13.65" customHeight="1" x14ac:dyDescent="0.25">
      <c r="A275" s="1454" t="s">
        <v>169</v>
      </c>
      <c r="B275" s="1454"/>
      <c r="C275" s="1454"/>
      <c r="D275" s="1454"/>
      <c r="E275" s="1454"/>
      <c r="F275" s="1454"/>
      <c r="G275" s="1454"/>
      <c r="H275" s="1454"/>
      <c r="I275" s="1454"/>
      <c r="J275" s="1454"/>
      <c r="K275" s="1454"/>
      <c r="L275" s="1454"/>
      <c r="M275" s="1454"/>
      <c r="N275" s="1454"/>
      <c r="O275" s="1454"/>
      <c r="P275" s="1454"/>
      <c r="Q275" s="1454"/>
      <c r="R275" s="1454"/>
      <c r="S275" s="1454"/>
      <c r="T275" s="1454"/>
      <c r="U275" s="1454"/>
      <c r="V275" s="1454"/>
      <c r="W275" s="1454"/>
      <c r="X275" s="1454"/>
      <c r="Y275" s="1454"/>
      <c r="Z275" s="1454"/>
      <c r="AA275" s="1454"/>
      <c r="AB275" s="1454"/>
      <c r="AC275" s="1454"/>
      <c r="AD275" s="1454"/>
      <c r="AE275" s="1454"/>
      <c r="AF275" s="1454"/>
      <c r="AG275" s="1454"/>
      <c r="AH275" s="1454"/>
      <c r="AJ275" s="512"/>
    </row>
    <row r="276" spans="1:51" s="308" customFormat="1" ht="27.75" customHeight="1" x14ac:dyDescent="0.25">
      <c r="A276" s="1454" t="s">
        <v>185</v>
      </c>
      <c r="B276" s="1454"/>
      <c r="C276" s="1454"/>
      <c r="D276" s="1454"/>
      <c r="E276" s="1454"/>
      <c r="F276" s="1454"/>
      <c r="G276" s="1454"/>
      <c r="H276" s="1454"/>
      <c r="I276" s="1454"/>
      <c r="J276" s="1454"/>
      <c r="K276" s="1454"/>
      <c r="L276" s="1454"/>
      <c r="M276" s="1454"/>
      <c r="N276" s="1454"/>
      <c r="O276" s="1454"/>
      <c r="P276" s="1454"/>
      <c r="Q276" s="1454"/>
      <c r="R276" s="1454"/>
      <c r="S276" s="1454"/>
      <c r="T276" s="1454"/>
      <c r="U276" s="1454"/>
      <c r="V276" s="1454"/>
      <c r="W276" s="1454"/>
      <c r="X276" s="1454"/>
      <c r="Y276" s="1454"/>
      <c r="Z276" s="1454"/>
      <c r="AA276" s="1454"/>
      <c r="AB276" s="1454"/>
      <c r="AC276" s="1454"/>
      <c r="AD276" s="1454"/>
      <c r="AE276" s="1454"/>
      <c r="AF276" s="1454"/>
      <c r="AG276" s="1454"/>
      <c r="AH276" s="1454"/>
      <c r="AJ276" s="512"/>
    </row>
    <row r="277" spans="1:51" s="308" customFormat="1" ht="11.25" customHeight="1" x14ac:dyDescent="0.25">
      <c r="A277" s="326"/>
      <c r="B277" s="326"/>
      <c r="C277" s="326"/>
      <c r="D277" s="326"/>
      <c r="E277" s="326"/>
      <c r="F277" s="326"/>
      <c r="G277" s="326"/>
      <c r="H277" s="326"/>
      <c r="I277" s="326"/>
      <c r="J277" s="326"/>
      <c r="K277" s="326"/>
      <c r="L277" s="326"/>
      <c r="M277" s="326"/>
      <c r="N277" s="326"/>
      <c r="O277" s="326"/>
      <c r="P277" s="326"/>
      <c r="Q277" s="326"/>
      <c r="R277" s="326"/>
      <c r="S277" s="326"/>
      <c r="T277" s="326"/>
      <c r="U277" s="326"/>
      <c r="V277" s="326"/>
      <c r="W277" s="326"/>
      <c r="X277" s="326"/>
      <c r="Y277" s="326"/>
      <c r="Z277" s="326"/>
      <c r="AA277" s="326"/>
      <c r="AB277" s="326"/>
      <c r="AC277" s="326"/>
      <c r="AD277" s="326"/>
      <c r="AE277" s="326"/>
      <c r="AF277" s="326"/>
      <c r="AG277" s="326"/>
      <c r="AH277" s="326"/>
      <c r="AJ277" s="508"/>
      <c r="AK277" s="307"/>
      <c r="AL277" s="307"/>
      <c r="AM277" s="307"/>
      <c r="AN277" s="307"/>
      <c r="AO277" s="307"/>
      <c r="AP277" s="307"/>
      <c r="AQ277" s="307"/>
      <c r="AR277" s="307"/>
      <c r="AS277" s="307"/>
      <c r="AT277" s="307"/>
      <c r="AU277" s="307"/>
      <c r="AV277" s="307"/>
      <c r="AW277" s="307"/>
      <c r="AX277" s="307"/>
      <c r="AY277" s="307"/>
    </row>
    <row r="278" spans="1:51" s="305" customFormat="1" ht="12" customHeight="1" x14ac:dyDescent="0.25">
      <c r="A278" s="1455" t="s">
        <v>186</v>
      </c>
      <c r="B278" s="1455"/>
      <c r="C278" s="1455"/>
      <c r="D278" s="1455"/>
      <c r="E278" s="1455"/>
      <c r="F278" s="1455"/>
      <c r="G278" s="1455"/>
      <c r="H278" s="1455"/>
      <c r="I278" s="1455"/>
      <c r="J278" s="1455"/>
      <c r="K278" s="1455"/>
      <c r="L278" s="1455"/>
      <c r="M278" s="1455"/>
      <c r="N278" s="1455"/>
      <c r="O278" s="1455"/>
      <c r="P278" s="1455"/>
      <c r="Q278" s="1455"/>
      <c r="R278" s="1455"/>
      <c r="S278" s="1455"/>
      <c r="T278" s="1455"/>
      <c r="U278" s="1455"/>
      <c r="V278" s="1455"/>
      <c r="W278" s="1455"/>
      <c r="X278" s="1455"/>
      <c r="Y278" s="1455"/>
      <c r="Z278" s="1455"/>
      <c r="AA278" s="1455"/>
      <c r="AB278" s="1455"/>
      <c r="AC278" s="1455"/>
      <c r="AD278" s="1455"/>
      <c r="AE278" s="1455"/>
      <c r="AF278" s="1455"/>
      <c r="AG278" s="1455"/>
      <c r="AH278" s="1455"/>
      <c r="AJ278" s="651"/>
    </row>
    <row r="279" spans="1:51" s="308" customFormat="1" ht="11.25" customHeight="1" x14ac:dyDescent="0.25">
      <c r="A279" s="326"/>
      <c r="B279" s="326"/>
      <c r="C279" s="326"/>
      <c r="D279" s="326"/>
      <c r="E279" s="326"/>
      <c r="F279" s="326"/>
      <c r="G279" s="326"/>
      <c r="H279" s="326"/>
      <c r="I279" s="326"/>
      <c r="J279" s="326"/>
      <c r="K279" s="326"/>
      <c r="L279" s="326"/>
      <c r="M279" s="326"/>
      <c r="N279" s="326"/>
      <c r="O279" s="326"/>
      <c r="P279" s="326"/>
      <c r="Q279" s="326"/>
      <c r="R279" s="326"/>
      <c r="S279" s="326"/>
      <c r="T279" s="326"/>
      <c r="U279" s="326"/>
      <c r="V279" s="326"/>
      <c r="W279" s="326"/>
      <c r="X279" s="326"/>
      <c r="Y279" s="326"/>
      <c r="Z279" s="326"/>
      <c r="AA279" s="326"/>
      <c r="AB279" s="326"/>
      <c r="AC279" s="326"/>
      <c r="AD279" s="326"/>
      <c r="AE279" s="326"/>
      <c r="AF279" s="326"/>
      <c r="AG279" s="326"/>
      <c r="AH279" s="326"/>
      <c r="AJ279" s="508"/>
      <c r="AK279" s="307"/>
      <c r="AL279" s="307"/>
      <c r="AM279" s="307"/>
      <c r="AN279" s="307"/>
      <c r="AO279" s="307"/>
      <c r="AP279" s="307"/>
      <c r="AQ279" s="307"/>
      <c r="AR279" s="307"/>
      <c r="AS279" s="307"/>
      <c r="AT279" s="307"/>
      <c r="AU279" s="307"/>
      <c r="AV279" s="307"/>
      <c r="AW279" s="307"/>
      <c r="AX279" s="307"/>
      <c r="AY279" s="307"/>
    </row>
    <row r="280" spans="1:51" s="308" customFormat="1" ht="13.65" customHeight="1" x14ac:dyDescent="0.25">
      <c r="A280" s="1454" t="s">
        <v>184</v>
      </c>
      <c r="B280" s="1454"/>
      <c r="C280" s="1454"/>
      <c r="D280" s="1454"/>
      <c r="E280" s="1454"/>
      <c r="F280" s="1454"/>
      <c r="G280" s="1454"/>
      <c r="H280" s="1454"/>
      <c r="I280" s="1454"/>
      <c r="J280" s="1454"/>
      <c r="K280" s="1454"/>
      <c r="L280" s="1454"/>
      <c r="M280" s="1454"/>
      <c r="N280" s="1454"/>
      <c r="O280" s="1454"/>
      <c r="P280" s="1454"/>
      <c r="Q280" s="1454"/>
      <c r="R280" s="1454"/>
      <c r="S280" s="1454"/>
      <c r="T280" s="1454"/>
      <c r="U280" s="1454"/>
      <c r="V280" s="1454"/>
      <c r="W280" s="1454"/>
      <c r="X280" s="1454"/>
      <c r="Y280" s="1454"/>
      <c r="Z280" s="1454"/>
      <c r="AA280" s="1454"/>
      <c r="AB280" s="1454"/>
      <c r="AC280" s="1454"/>
      <c r="AD280" s="1454"/>
      <c r="AE280" s="1454"/>
      <c r="AF280" s="1454"/>
      <c r="AG280" s="1454"/>
      <c r="AH280" s="1454"/>
      <c r="AJ280" s="512"/>
    </row>
    <row r="281" spans="1:51" s="308" customFormat="1" ht="13.65" customHeight="1" x14ac:dyDescent="0.25">
      <c r="A281" s="1454" t="s">
        <v>169</v>
      </c>
      <c r="B281" s="1454"/>
      <c r="C281" s="1454"/>
      <c r="D281" s="1454"/>
      <c r="E281" s="1454"/>
      <c r="F281" s="1454"/>
      <c r="G281" s="1454"/>
      <c r="H281" s="1454"/>
      <c r="I281" s="1454"/>
      <c r="J281" s="1454"/>
      <c r="K281" s="1454"/>
      <c r="L281" s="1454"/>
      <c r="M281" s="1454"/>
      <c r="N281" s="1454"/>
      <c r="O281" s="1454"/>
      <c r="P281" s="1454"/>
      <c r="Q281" s="1454"/>
      <c r="R281" s="1454"/>
      <c r="S281" s="1454"/>
      <c r="T281" s="1454"/>
      <c r="U281" s="1454"/>
      <c r="V281" s="1454"/>
      <c r="W281" s="1454"/>
      <c r="X281" s="1454"/>
      <c r="Y281" s="1454"/>
      <c r="Z281" s="1454"/>
      <c r="AA281" s="1454"/>
      <c r="AB281" s="1454"/>
      <c r="AC281" s="1454"/>
      <c r="AD281" s="1454"/>
      <c r="AE281" s="1454"/>
      <c r="AF281" s="1454"/>
      <c r="AG281" s="1454"/>
      <c r="AH281" s="1454"/>
      <c r="AJ281" s="512"/>
    </row>
    <row r="282" spans="1:51" s="308" customFormat="1" ht="27.75" customHeight="1" x14ac:dyDescent="0.25">
      <c r="A282" s="1454" t="s">
        <v>185</v>
      </c>
      <c r="B282" s="1454"/>
      <c r="C282" s="1454"/>
      <c r="D282" s="1454"/>
      <c r="E282" s="1454"/>
      <c r="F282" s="1454"/>
      <c r="G282" s="1454"/>
      <c r="H282" s="1454"/>
      <c r="I282" s="1454"/>
      <c r="J282" s="1454"/>
      <c r="K282" s="1454"/>
      <c r="L282" s="1454"/>
      <c r="M282" s="1454"/>
      <c r="N282" s="1454"/>
      <c r="O282" s="1454"/>
      <c r="P282" s="1454"/>
      <c r="Q282" s="1454"/>
      <c r="R282" s="1454"/>
      <c r="S282" s="1454"/>
      <c r="T282" s="1454"/>
      <c r="U282" s="1454"/>
      <c r="V282" s="1454"/>
      <c r="W282" s="1454"/>
      <c r="X282" s="1454"/>
      <c r="Y282" s="1454"/>
      <c r="Z282" s="1454"/>
      <c r="AA282" s="1454"/>
      <c r="AB282" s="1454"/>
      <c r="AC282" s="1454"/>
      <c r="AD282" s="1454"/>
      <c r="AE282" s="1454"/>
      <c r="AF282" s="1454"/>
      <c r="AG282" s="1454"/>
      <c r="AH282" s="1454"/>
      <c r="AJ282" s="512"/>
    </row>
    <row r="283" spans="1:51" s="308" customFormat="1" ht="11.25" customHeight="1" x14ac:dyDescent="0.25">
      <c r="A283" s="326"/>
      <c r="B283" s="326"/>
      <c r="C283" s="326"/>
      <c r="D283" s="326"/>
      <c r="E283" s="326"/>
      <c r="F283" s="326"/>
      <c r="G283" s="326"/>
      <c r="H283" s="326"/>
      <c r="I283" s="326"/>
      <c r="J283" s="326"/>
      <c r="K283" s="326"/>
      <c r="L283" s="326"/>
      <c r="M283" s="326"/>
      <c r="N283" s="326"/>
      <c r="O283" s="326"/>
      <c r="P283" s="326"/>
      <c r="Q283" s="326"/>
      <c r="R283" s="326"/>
      <c r="S283" s="326"/>
      <c r="T283" s="326"/>
      <c r="U283" s="326"/>
      <c r="V283" s="326"/>
      <c r="W283" s="326"/>
      <c r="X283" s="326"/>
      <c r="Y283" s="326"/>
      <c r="Z283" s="326"/>
      <c r="AA283" s="326"/>
      <c r="AB283" s="326"/>
      <c r="AC283" s="326"/>
      <c r="AD283" s="326"/>
      <c r="AE283" s="326"/>
      <c r="AF283" s="326"/>
      <c r="AG283" s="326"/>
      <c r="AH283" s="326"/>
      <c r="AJ283" s="508"/>
      <c r="AK283" s="307"/>
      <c r="AL283" s="307"/>
      <c r="AM283" s="307"/>
      <c r="AN283" s="307"/>
      <c r="AO283" s="307"/>
      <c r="AP283" s="307"/>
      <c r="AQ283" s="307"/>
      <c r="AR283" s="307"/>
      <c r="AS283" s="307"/>
      <c r="AT283" s="307"/>
      <c r="AU283" s="307"/>
      <c r="AV283" s="307"/>
      <c r="AW283" s="307"/>
      <c r="AX283" s="307"/>
      <c r="AY283" s="307"/>
    </row>
    <row r="284" spans="1:51" s="305" customFormat="1" ht="12" customHeight="1" x14ac:dyDescent="0.25">
      <c r="A284" s="1455" t="s">
        <v>187</v>
      </c>
      <c r="B284" s="1455"/>
      <c r="C284" s="1455"/>
      <c r="D284" s="1455"/>
      <c r="E284" s="1455"/>
      <c r="F284" s="1455"/>
      <c r="G284" s="1455"/>
      <c r="H284" s="1455"/>
      <c r="I284" s="1455"/>
      <c r="J284" s="1455"/>
      <c r="K284" s="1455"/>
      <c r="L284" s="1455"/>
      <c r="M284" s="1455"/>
      <c r="N284" s="1455"/>
      <c r="O284" s="1455"/>
      <c r="P284" s="1455"/>
      <c r="Q284" s="1455"/>
      <c r="R284" s="1455"/>
      <c r="S284" s="1455"/>
      <c r="T284" s="1455"/>
      <c r="U284" s="1455"/>
      <c r="V284" s="1455"/>
      <c r="W284" s="1455"/>
      <c r="X284" s="1455"/>
      <c r="Y284" s="1455"/>
      <c r="Z284" s="1455"/>
      <c r="AA284" s="1455"/>
      <c r="AB284" s="1455"/>
      <c r="AC284" s="1455"/>
      <c r="AD284" s="1455"/>
      <c r="AE284" s="1455"/>
      <c r="AF284" s="1455"/>
      <c r="AG284" s="1455"/>
      <c r="AH284" s="1455"/>
      <c r="AJ284" s="651"/>
    </row>
    <row r="285" spans="1:51" s="308" customFormat="1" ht="11.25" customHeight="1" x14ac:dyDescent="0.25">
      <c r="A285" s="326"/>
      <c r="B285" s="326"/>
      <c r="C285" s="326"/>
      <c r="D285" s="326"/>
      <c r="E285" s="326"/>
      <c r="F285" s="326"/>
      <c r="G285" s="326"/>
      <c r="H285" s="326"/>
      <c r="I285" s="326"/>
      <c r="J285" s="326"/>
      <c r="K285" s="326"/>
      <c r="L285" s="326"/>
      <c r="M285" s="326"/>
      <c r="N285" s="326"/>
      <c r="O285" s="326"/>
      <c r="P285" s="326"/>
      <c r="Q285" s="326"/>
      <c r="R285" s="326"/>
      <c r="S285" s="326"/>
      <c r="T285" s="326"/>
      <c r="U285" s="326"/>
      <c r="V285" s="326"/>
      <c r="W285" s="326"/>
      <c r="X285" s="326"/>
      <c r="Y285" s="326"/>
      <c r="Z285" s="326"/>
      <c r="AA285" s="326"/>
      <c r="AB285" s="326"/>
      <c r="AC285" s="326"/>
      <c r="AD285" s="326"/>
      <c r="AE285" s="326"/>
      <c r="AF285" s="326"/>
      <c r="AG285" s="326"/>
      <c r="AH285" s="326"/>
      <c r="AJ285" s="508"/>
      <c r="AK285" s="307"/>
      <c r="AL285" s="307"/>
      <c r="AM285" s="307"/>
      <c r="AN285" s="307"/>
      <c r="AO285" s="307"/>
      <c r="AP285" s="307"/>
      <c r="AQ285" s="307"/>
      <c r="AR285" s="307"/>
      <c r="AS285" s="307"/>
      <c r="AT285" s="307"/>
      <c r="AU285" s="307"/>
      <c r="AV285" s="307"/>
      <c r="AW285" s="307"/>
      <c r="AX285" s="307"/>
      <c r="AY285" s="307"/>
    </row>
    <row r="286" spans="1:51" s="308" customFormat="1" ht="14.25" customHeight="1" x14ac:dyDescent="0.25">
      <c r="A286" s="1454" t="s">
        <v>188</v>
      </c>
      <c r="B286" s="1454"/>
      <c r="C286" s="1454"/>
      <c r="D286" s="1454"/>
      <c r="E286" s="1454"/>
      <c r="F286" s="1454"/>
      <c r="G286" s="1454"/>
      <c r="H286" s="1454"/>
      <c r="I286" s="1454"/>
      <c r="J286" s="1454"/>
      <c r="K286" s="1454"/>
      <c r="L286" s="1454"/>
      <c r="M286" s="1454"/>
      <c r="N286" s="1454"/>
      <c r="O286" s="1454"/>
      <c r="P286" s="1454"/>
      <c r="Q286" s="1454"/>
      <c r="R286" s="1454"/>
      <c r="S286" s="1454"/>
      <c r="T286" s="1454"/>
      <c r="U286" s="1454"/>
      <c r="V286" s="1454"/>
      <c r="W286" s="1454"/>
      <c r="X286" s="1454"/>
      <c r="Y286" s="1454"/>
      <c r="Z286" s="1454"/>
      <c r="AA286" s="1454"/>
      <c r="AB286" s="1454"/>
      <c r="AC286" s="1454"/>
      <c r="AD286" s="1454"/>
      <c r="AE286" s="1454"/>
      <c r="AF286" s="1454"/>
      <c r="AG286" s="1454"/>
      <c r="AH286" s="1454"/>
      <c r="AJ286" s="512"/>
    </row>
    <row r="287" spans="1:51" s="308" customFormat="1" ht="11.25" customHeight="1" x14ac:dyDescent="0.25">
      <c r="A287" s="326"/>
      <c r="B287" s="326"/>
      <c r="C287" s="326"/>
      <c r="D287" s="326"/>
      <c r="E287" s="326"/>
      <c r="F287" s="326"/>
      <c r="G287" s="326"/>
      <c r="H287" s="326"/>
      <c r="I287" s="326"/>
      <c r="J287" s="326"/>
      <c r="K287" s="326"/>
      <c r="L287" s="326"/>
      <c r="M287" s="326"/>
      <c r="N287" s="326"/>
      <c r="O287" s="326"/>
      <c r="P287" s="326"/>
      <c r="Q287" s="326"/>
      <c r="R287" s="326"/>
      <c r="S287" s="326"/>
      <c r="T287" s="326"/>
      <c r="U287" s="326"/>
      <c r="V287" s="326"/>
      <c r="W287" s="326"/>
      <c r="X287" s="326"/>
      <c r="Y287" s="326"/>
      <c r="Z287" s="326"/>
      <c r="AA287" s="326"/>
      <c r="AB287" s="326"/>
      <c r="AC287" s="326"/>
      <c r="AD287" s="326"/>
      <c r="AE287" s="326"/>
      <c r="AF287" s="326"/>
      <c r="AG287" s="326"/>
      <c r="AH287" s="326"/>
      <c r="AJ287" s="508"/>
      <c r="AK287" s="307"/>
      <c r="AL287" s="307"/>
      <c r="AM287" s="307"/>
      <c r="AN287" s="307"/>
      <c r="AO287" s="307"/>
      <c r="AP287" s="307"/>
      <c r="AQ287" s="307"/>
      <c r="AR287" s="307"/>
      <c r="AS287" s="307"/>
      <c r="AT287" s="307"/>
      <c r="AU287" s="307"/>
      <c r="AV287" s="307"/>
      <c r="AW287" s="307"/>
      <c r="AX287" s="307"/>
      <c r="AY287" s="307"/>
    </row>
    <row r="288" spans="1:51" s="305" customFormat="1" ht="12" customHeight="1" x14ac:dyDescent="0.25">
      <c r="A288" s="1455" t="s">
        <v>189</v>
      </c>
      <c r="B288" s="1455"/>
      <c r="C288" s="1455"/>
      <c r="D288" s="1455"/>
      <c r="E288" s="1455"/>
      <c r="F288" s="1455"/>
      <c r="G288" s="1455"/>
      <c r="H288" s="1455"/>
      <c r="I288" s="1455"/>
      <c r="J288" s="1455"/>
      <c r="K288" s="1455"/>
      <c r="L288" s="1455"/>
      <c r="M288" s="1455"/>
      <c r="N288" s="1455"/>
      <c r="O288" s="1455"/>
      <c r="P288" s="1455"/>
      <c r="Q288" s="1455"/>
      <c r="R288" s="1455"/>
      <c r="S288" s="1455"/>
      <c r="T288" s="1455"/>
      <c r="U288" s="1455"/>
      <c r="V288" s="1455"/>
      <c r="W288" s="1455"/>
      <c r="X288" s="1455"/>
      <c r="Y288" s="1455"/>
      <c r="Z288" s="1455"/>
      <c r="AA288" s="1455"/>
      <c r="AB288" s="1455"/>
      <c r="AC288" s="1455"/>
      <c r="AD288" s="1455"/>
      <c r="AE288" s="1455"/>
      <c r="AF288" s="1455"/>
      <c r="AG288" s="1455"/>
      <c r="AH288" s="1455"/>
      <c r="AJ288" s="651"/>
    </row>
    <row r="289" spans="1:51" s="308" customFormat="1" ht="11.25" customHeight="1" x14ac:dyDescent="0.25">
      <c r="A289" s="326"/>
      <c r="B289" s="326"/>
      <c r="C289" s="326"/>
      <c r="D289" s="326"/>
      <c r="E289" s="326"/>
      <c r="F289" s="326"/>
      <c r="G289" s="326"/>
      <c r="H289" s="326"/>
      <c r="I289" s="326"/>
      <c r="J289" s="326"/>
      <c r="K289" s="326"/>
      <c r="L289" s="326"/>
      <c r="M289" s="326"/>
      <c r="N289" s="326"/>
      <c r="O289" s="326"/>
      <c r="P289" s="326"/>
      <c r="Q289" s="326"/>
      <c r="R289" s="326"/>
      <c r="S289" s="326"/>
      <c r="T289" s="326"/>
      <c r="U289" s="326"/>
      <c r="V289" s="326"/>
      <c r="W289" s="326"/>
      <c r="X289" s="326"/>
      <c r="Y289" s="326"/>
      <c r="Z289" s="326"/>
      <c r="AA289" s="326"/>
      <c r="AB289" s="326"/>
      <c r="AC289" s="326"/>
      <c r="AD289" s="326"/>
      <c r="AE289" s="326"/>
      <c r="AF289" s="326"/>
      <c r="AG289" s="326"/>
      <c r="AH289" s="326"/>
      <c r="AJ289" s="508"/>
      <c r="AK289" s="307"/>
      <c r="AL289" s="307"/>
      <c r="AM289" s="307"/>
      <c r="AN289" s="307"/>
      <c r="AO289" s="307"/>
      <c r="AP289" s="307"/>
      <c r="AQ289" s="307"/>
      <c r="AR289" s="307"/>
      <c r="AS289" s="307"/>
      <c r="AT289" s="307"/>
      <c r="AU289" s="307"/>
      <c r="AV289" s="307"/>
      <c r="AW289" s="307"/>
      <c r="AX289" s="307"/>
      <c r="AY289" s="307"/>
    </row>
    <row r="290" spans="1:51" s="308" customFormat="1" ht="27.75" customHeight="1" x14ac:dyDescent="0.25">
      <c r="A290" s="1454" t="s">
        <v>190</v>
      </c>
      <c r="B290" s="1454"/>
      <c r="C290" s="1454"/>
      <c r="D290" s="1454"/>
      <c r="E290" s="1454"/>
      <c r="F290" s="1454"/>
      <c r="G290" s="1454"/>
      <c r="H290" s="1454"/>
      <c r="I290" s="1454"/>
      <c r="J290" s="1454"/>
      <c r="K290" s="1454"/>
      <c r="L290" s="1454"/>
      <c r="M290" s="1454"/>
      <c r="N290" s="1454"/>
      <c r="O290" s="1454"/>
      <c r="P290" s="1454"/>
      <c r="Q290" s="1454"/>
      <c r="R290" s="1454"/>
      <c r="S290" s="1454"/>
      <c r="T290" s="1454"/>
      <c r="U290" s="1454"/>
      <c r="V290" s="1454"/>
      <c r="W290" s="1454"/>
      <c r="X290" s="1454"/>
      <c r="Y290" s="1454"/>
      <c r="Z290" s="1454"/>
      <c r="AA290" s="1454"/>
      <c r="AB290" s="1454"/>
      <c r="AC290" s="1454"/>
      <c r="AD290" s="1454"/>
      <c r="AE290" s="1454"/>
      <c r="AF290" s="1454"/>
      <c r="AG290" s="1454"/>
      <c r="AH290" s="1454"/>
      <c r="AJ290" s="512"/>
    </row>
    <row r="291" spans="1:51" s="308" customFormat="1" ht="13.8" x14ac:dyDescent="0.25">
      <c r="A291" s="1454" t="s">
        <v>191</v>
      </c>
      <c r="B291" s="1454"/>
      <c r="C291" s="1454"/>
      <c r="D291" s="1454"/>
      <c r="E291" s="1454"/>
      <c r="F291" s="1454"/>
      <c r="G291" s="1454"/>
      <c r="H291" s="1454"/>
      <c r="I291" s="1454"/>
      <c r="J291" s="1454"/>
      <c r="K291" s="1454"/>
      <c r="L291" s="1454"/>
      <c r="M291" s="1454"/>
      <c r="N291" s="1454"/>
      <c r="O291" s="1454"/>
      <c r="P291" s="1454"/>
      <c r="Q291" s="1454"/>
      <c r="R291" s="1454"/>
      <c r="S291" s="1454"/>
      <c r="T291" s="1454"/>
      <c r="U291" s="1454"/>
      <c r="V291" s="1454"/>
      <c r="W291" s="1454"/>
      <c r="X291" s="1454"/>
      <c r="Y291" s="1454"/>
      <c r="Z291" s="1454"/>
      <c r="AA291" s="1454"/>
      <c r="AB291" s="1454"/>
      <c r="AC291" s="1454"/>
      <c r="AD291" s="1454"/>
      <c r="AE291" s="1454"/>
      <c r="AF291" s="1454"/>
      <c r="AG291" s="1454"/>
      <c r="AH291" s="1454"/>
      <c r="AJ291" s="512"/>
    </row>
    <row r="292" spans="1:51" s="308" customFormat="1" ht="27.75" customHeight="1" x14ac:dyDescent="0.25">
      <c r="A292" s="1454" t="s">
        <v>192</v>
      </c>
      <c r="B292" s="1454"/>
      <c r="C292" s="1454"/>
      <c r="D292" s="1454"/>
      <c r="E292" s="1454"/>
      <c r="F292" s="1454"/>
      <c r="G292" s="1454"/>
      <c r="H292" s="1454"/>
      <c r="I292" s="1454"/>
      <c r="J292" s="1454"/>
      <c r="K292" s="1454"/>
      <c r="L292" s="1454"/>
      <c r="M292" s="1454"/>
      <c r="N292" s="1454"/>
      <c r="O292" s="1454"/>
      <c r="P292" s="1454"/>
      <c r="Q292" s="1454"/>
      <c r="R292" s="1454"/>
      <c r="S292" s="1454"/>
      <c r="T292" s="1454"/>
      <c r="U292" s="1454"/>
      <c r="V292" s="1454"/>
      <c r="W292" s="1454"/>
      <c r="X292" s="1454"/>
      <c r="Y292" s="1454"/>
      <c r="Z292" s="1454"/>
      <c r="AA292" s="1454"/>
      <c r="AB292" s="1454"/>
      <c r="AC292" s="1454"/>
      <c r="AD292" s="1454"/>
      <c r="AE292" s="1454"/>
      <c r="AF292" s="1454"/>
      <c r="AG292" s="1454"/>
      <c r="AH292" s="1454"/>
      <c r="AJ292" s="512"/>
    </row>
    <row r="293" spans="1:51" s="308" customFormat="1" ht="11.25" customHeight="1" x14ac:dyDescent="0.25">
      <c r="A293" s="326"/>
      <c r="B293" s="326"/>
      <c r="C293" s="326"/>
      <c r="D293" s="326"/>
      <c r="E293" s="326"/>
      <c r="F293" s="326"/>
      <c r="G293" s="326"/>
      <c r="H293" s="326"/>
      <c r="I293" s="326"/>
      <c r="J293" s="326"/>
      <c r="K293" s="326"/>
      <c r="L293" s="326"/>
      <c r="M293" s="326"/>
      <c r="N293" s="326"/>
      <c r="O293" s="326"/>
      <c r="P293" s="326"/>
      <c r="Q293" s="326"/>
      <c r="R293" s="326"/>
      <c r="S293" s="326"/>
      <c r="T293" s="326"/>
      <c r="U293" s="326"/>
      <c r="V293" s="326"/>
      <c r="W293" s="326"/>
      <c r="X293" s="326"/>
      <c r="Y293" s="326"/>
      <c r="Z293" s="326"/>
      <c r="AA293" s="326"/>
      <c r="AB293" s="326"/>
      <c r="AC293" s="326"/>
      <c r="AD293" s="326"/>
      <c r="AE293" s="326"/>
      <c r="AF293" s="326"/>
      <c r="AG293" s="326"/>
      <c r="AH293" s="326"/>
      <c r="AJ293" s="508"/>
      <c r="AK293" s="307"/>
      <c r="AL293" s="307"/>
      <c r="AM293" s="307"/>
      <c r="AN293" s="307"/>
      <c r="AO293" s="307"/>
      <c r="AP293" s="307"/>
      <c r="AQ293" s="307"/>
      <c r="AR293" s="307"/>
      <c r="AS293" s="307"/>
      <c r="AT293" s="307"/>
      <c r="AU293" s="307"/>
      <c r="AV293" s="307"/>
      <c r="AW293" s="307"/>
      <c r="AX293" s="307"/>
      <c r="AY293" s="307"/>
    </row>
    <row r="294" spans="1:51" ht="14.1" customHeight="1" x14ac:dyDescent="0.25">
      <c r="A294" s="1455" t="s">
        <v>193</v>
      </c>
      <c r="B294" s="1455"/>
      <c r="C294" s="1455"/>
      <c r="D294" s="1455"/>
      <c r="E294" s="1455"/>
      <c r="F294" s="1455"/>
      <c r="G294" s="1455"/>
      <c r="H294" s="1455"/>
      <c r="I294" s="1455"/>
      <c r="J294" s="1455"/>
      <c r="K294" s="1455"/>
      <c r="L294" s="1455"/>
      <c r="M294" s="1455"/>
      <c r="N294" s="1455"/>
      <c r="O294" s="1455"/>
      <c r="P294" s="1455"/>
      <c r="Q294" s="1455"/>
      <c r="R294" s="1455"/>
      <c r="S294" s="1455"/>
      <c r="T294" s="1455"/>
      <c r="U294" s="1455"/>
      <c r="V294" s="1455"/>
      <c r="W294" s="1455"/>
      <c r="X294" s="1455"/>
      <c r="Y294" s="1455"/>
      <c r="Z294" s="1455"/>
      <c r="AA294" s="1455"/>
      <c r="AB294" s="1455"/>
      <c r="AC294" s="1455"/>
      <c r="AD294" s="1455"/>
      <c r="AE294" s="1455"/>
      <c r="AF294" s="1455"/>
      <c r="AG294" s="1455"/>
      <c r="AH294" s="1455"/>
      <c r="AJ294" s="652"/>
    </row>
    <row r="295" spans="1:51" s="308" customFormat="1" ht="11.25" customHeight="1" x14ac:dyDescent="0.25">
      <c r="A295" s="326"/>
      <c r="B295" s="326"/>
      <c r="C295" s="326"/>
      <c r="D295" s="326"/>
      <c r="E295" s="326"/>
      <c r="F295" s="326"/>
      <c r="G295" s="326"/>
      <c r="H295" s="326"/>
      <c r="I295" s="326"/>
      <c r="J295" s="326"/>
      <c r="K295" s="326"/>
      <c r="L295" s="326"/>
      <c r="M295" s="326"/>
      <c r="N295" s="326"/>
      <c r="O295" s="326"/>
      <c r="P295" s="326"/>
      <c r="Q295" s="326"/>
      <c r="R295" s="326"/>
      <c r="S295" s="326"/>
      <c r="T295" s="326"/>
      <c r="U295" s="326"/>
      <c r="V295" s="326"/>
      <c r="W295" s="326"/>
      <c r="X295" s="326"/>
      <c r="Y295" s="326"/>
      <c r="Z295" s="326"/>
      <c r="AA295" s="326"/>
      <c r="AB295" s="326"/>
      <c r="AC295" s="326"/>
      <c r="AD295" s="326"/>
      <c r="AE295" s="326"/>
      <c r="AF295" s="326"/>
      <c r="AG295" s="326"/>
      <c r="AH295" s="326"/>
      <c r="AJ295" s="508"/>
      <c r="AK295" s="307"/>
      <c r="AL295" s="307"/>
      <c r="AM295" s="307"/>
      <c r="AN295" s="307"/>
      <c r="AO295" s="307"/>
      <c r="AP295" s="307"/>
      <c r="AQ295" s="307"/>
      <c r="AR295" s="307"/>
      <c r="AS295" s="307"/>
      <c r="AT295" s="307"/>
      <c r="AU295" s="307"/>
      <c r="AV295" s="307"/>
      <c r="AW295" s="307"/>
      <c r="AX295" s="307"/>
      <c r="AY295" s="307"/>
    </row>
    <row r="296" spans="1:51" ht="15" customHeight="1" x14ac:dyDescent="0.25">
      <c r="A296" s="1454" t="s">
        <v>194</v>
      </c>
      <c r="B296" s="1454"/>
      <c r="C296" s="1454"/>
      <c r="D296" s="1454"/>
      <c r="E296" s="1454"/>
      <c r="F296" s="1454"/>
      <c r="G296" s="1454"/>
      <c r="H296" s="1454"/>
      <c r="I296" s="1454"/>
      <c r="J296" s="1454"/>
      <c r="K296" s="1454"/>
      <c r="L296" s="1454"/>
      <c r="M296" s="1454"/>
      <c r="N296" s="1454"/>
      <c r="O296" s="1454"/>
      <c r="P296" s="1454"/>
      <c r="Q296" s="1454"/>
      <c r="R296" s="1454"/>
      <c r="S296" s="1454"/>
      <c r="T296" s="1454"/>
      <c r="U296" s="1454"/>
      <c r="V296" s="1454"/>
      <c r="W296" s="1454"/>
      <c r="X296" s="1454"/>
      <c r="Y296" s="1454"/>
      <c r="Z296" s="1454"/>
      <c r="AA296" s="1454"/>
      <c r="AB296" s="1454"/>
      <c r="AC296" s="1454"/>
      <c r="AD296" s="1454"/>
      <c r="AE296" s="1454"/>
      <c r="AF296" s="1454"/>
      <c r="AG296" s="1454"/>
      <c r="AH296" s="1454"/>
      <c r="AJ296" s="652"/>
    </row>
    <row r="297" spans="1:51" s="308" customFormat="1" ht="11.25" customHeight="1" x14ac:dyDescent="0.25">
      <c r="A297" s="326"/>
      <c r="B297" s="326"/>
      <c r="C297" s="326"/>
      <c r="D297" s="326"/>
      <c r="E297" s="326"/>
      <c r="F297" s="326"/>
      <c r="G297" s="326"/>
      <c r="H297" s="326"/>
      <c r="I297" s="326"/>
      <c r="J297" s="326"/>
      <c r="K297" s="326"/>
      <c r="L297" s="326"/>
      <c r="M297" s="326"/>
      <c r="N297" s="326"/>
      <c r="O297" s="326"/>
      <c r="P297" s="326"/>
      <c r="Q297" s="326"/>
      <c r="R297" s="326"/>
      <c r="S297" s="326"/>
      <c r="T297" s="326"/>
      <c r="U297" s="326"/>
      <c r="V297" s="326"/>
      <c r="W297" s="326"/>
      <c r="X297" s="326"/>
      <c r="Y297" s="326"/>
      <c r="Z297" s="326"/>
      <c r="AA297" s="326"/>
      <c r="AB297" s="326"/>
      <c r="AC297" s="326"/>
      <c r="AD297" s="326"/>
      <c r="AE297" s="326"/>
      <c r="AF297" s="326"/>
      <c r="AG297" s="326"/>
      <c r="AH297" s="326"/>
      <c r="AJ297" s="508"/>
      <c r="AK297" s="307"/>
      <c r="AL297" s="307"/>
      <c r="AM297" s="307"/>
      <c r="AN297" s="307"/>
      <c r="AO297" s="307"/>
      <c r="AP297" s="307"/>
      <c r="AQ297" s="307"/>
      <c r="AR297" s="307"/>
      <c r="AS297" s="307"/>
      <c r="AT297" s="307"/>
      <c r="AU297" s="307"/>
      <c r="AV297" s="307"/>
      <c r="AW297" s="307"/>
      <c r="AX297" s="307"/>
      <c r="AY297" s="307"/>
    </row>
    <row r="298" spans="1:51" s="305" customFormat="1" ht="15" customHeight="1" x14ac:dyDescent="0.25">
      <c r="A298" s="1455" t="s">
        <v>195</v>
      </c>
      <c r="B298" s="1455"/>
      <c r="C298" s="1455"/>
      <c r="D298" s="1455"/>
      <c r="E298" s="1455"/>
      <c r="F298" s="1455"/>
      <c r="G298" s="1455"/>
      <c r="H298" s="1455"/>
      <c r="I298" s="1455"/>
      <c r="J298" s="1455"/>
      <c r="K298" s="1455"/>
      <c r="L298" s="1455"/>
      <c r="M298" s="1455"/>
      <c r="N298" s="1455"/>
      <c r="O298" s="1455"/>
      <c r="P298" s="1455"/>
      <c r="Q298" s="1455"/>
      <c r="R298" s="1455"/>
      <c r="S298" s="1455"/>
      <c r="T298" s="1455"/>
      <c r="U298" s="1455"/>
      <c r="V298" s="1455"/>
      <c r="W298" s="1455"/>
      <c r="X298" s="1455"/>
      <c r="Y298" s="1455"/>
      <c r="Z298" s="1455"/>
      <c r="AA298" s="1455"/>
      <c r="AB298" s="1455"/>
      <c r="AC298" s="1455"/>
      <c r="AD298" s="1455"/>
      <c r="AE298" s="1455"/>
      <c r="AF298" s="1455"/>
      <c r="AG298" s="1455"/>
      <c r="AH298" s="1455"/>
      <c r="AJ298" s="651"/>
    </row>
    <row r="299" spans="1:51" s="308" customFormat="1" ht="11.25" customHeight="1" x14ac:dyDescent="0.25">
      <c r="A299" s="326"/>
      <c r="B299" s="326"/>
      <c r="C299" s="326"/>
      <c r="D299" s="326"/>
      <c r="E299" s="326"/>
      <c r="F299" s="326"/>
      <c r="G299" s="326"/>
      <c r="H299" s="326"/>
      <c r="I299" s="326"/>
      <c r="J299" s="326"/>
      <c r="K299" s="326"/>
      <c r="L299" s="326"/>
      <c r="M299" s="326"/>
      <c r="N299" s="326"/>
      <c r="O299" s="326"/>
      <c r="P299" s="326"/>
      <c r="Q299" s="326"/>
      <c r="R299" s="326"/>
      <c r="S299" s="326"/>
      <c r="T299" s="326"/>
      <c r="U299" s="326"/>
      <c r="V299" s="326"/>
      <c r="W299" s="326"/>
      <c r="X299" s="326"/>
      <c r="Y299" s="326"/>
      <c r="Z299" s="326"/>
      <c r="AA299" s="326"/>
      <c r="AB299" s="326"/>
      <c r="AC299" s="326"/>
      <c r="AD299" s="326"/>
      <c r="AE299" s="326"/>
      <c r="AF299" s="326"/>
      <c r="AG299" s="326"/>
      <c r="AH299" s="326"/>
      <c r="AJ299" s="508"/>
      <c r="AK299" s="307"/>
      <c r="AL299" s="307"/>
      <c r="AM299" s="307"/>
      <c r="AN299" s="307"/>
      <c r="AO299" s="307"/>
      <c r="AP299" s="307"/>
      <c r="AQ299" s="307"/>
      <c r="AR299" s="307"/>
      <c r="AS299" s="307"/>
      <c r="AT299" s="307"/>
      <c r="AU299" s="307"/>
      <c r="AV299" s="307"/>
      <c r="AW299" s="307"/>
      <c r="AX299" s="307"/>
      <c r="AY299" s="307"/>
    </row>
    <row r="300" spans="1:51" s="308" customFormat="1" ht="54.6" customHeight="1" x14ac:dyDescent="0.25">
      <c r="A300" s="1454" t="s">
        <v>196</v>
      </c>
      <c r="B300" s="1454"/>
      <c r="C300" s="1454"/>
      <c r="D300" s="1454"/>
      <c r="E300" s="1454"/>
      <c r="F300" s="1454"/>
      <c r="G300" s="1454"/>
      <c r="H300" s="1454"/>
      <c r="I300" s="1454"/>
      <c r="J300" s="1454"/>
      <c r="K300" s="1454"/>
      <c r="L300" s="1454"/>
      <c r="M300" s="1454"/>
      <c r="N300" s="1454"/>
      <c r="O300" s="1454"/>
      <c r="P300" s="1454"/>
      <c r="Q300" s="1454"/>
      <c r="R300" s="1454"/>
      <c r="S300" s="1454"/>
      <c r="T300" s="1454"/>
      <c r="U300" s="1454"/>
      <c r="V300" s="1454"/>
      <c r="W300" s="1454"/>
      <c r="X300" s="1454"/>
      <c r="Y300" s="1454"/>
      <c r="Z300" s="1454"/>
      <c r="AA300" s="1454"/>
      <c r="AB300" s="1454"/>
      <c r="AC300" s="1454"/>
      <c r="AD300" s="1454"/>
      <c r="AE300" s="1454"/>
      <c r="AF300" s="1454"/>
      <c r="AG300" s="1454"/>
      <c r="AH300" s="1454"/>
      <c r="AJ300" s="512"/>
    </row>
    <row r="301" spans="1:51" s="308" customFormat="1" ht="11.25" customHeight="1" x14ac:dyDescent="0.25">
      <c r="A301" s="326"/>
      <c r="B301" s="326"/>
      <c r="C301" s="326"/>
      <c r="D301" s="326"/>
      <c r="E301" s="326"/>
      <c r="F301" s="326"/>
      <c r="G301" s="326"/>
      <c r="H301" s="326"/>
      <c r="I301" s="326"/>
      <c r="J301" s="326"/>
      <c r="K301" s="326"/>
      <c r="L301" s="326"/>
      <c r="M301" s="326"/>
      <c r="N301" s="326"/>
      <c r="O301" s="326"/>
      <c r="P301" s="326"/>
      <c r="Q301" s="326"/>
      <c r="R301" s="326"/>
      <c r="S301" s="326"/>
      <c r="T301" s="326"/>
      <c r="U301" s="326"/>
      <c r="V301" s="326"/>
      <c r="W301" s="326"/>
      <c r="X301" s="326"/>
      <c r="Y301" s="326"/>
      <c r="Z301" s="326"/>
      <c r="AA301" s="326"/>
      <c r="AB301" s="326"/>
      <c r="AC301" s="326"/>
      <c r="AD301" s="326"/>
      <c r="AE301" s="326"/>
      <c r="AF301" s="326"/>
      <c r="AG301" s="326"/>
      <c r="AH301" s="326"/>
      <c r="AJ301" s="508"/>
      <c r="AK301" s="307"/>
      <c r="AL301" s="307"/>
      <c r="AM301" s="307"/>
      <c r="AN301" s="307"/>
      <c r="AO301" s="307"/>
      <c r="AP301" s="307"/>
      <c r="AQ301" s="307"/>
      <c r="AR301" s="307"/>
      <c r="AS301" s="307"/>
      <c r="AT301" s="307"/>
      <c r="AU301" s="307"/>
      <c r="AV301" s="307"/>
      <c r="AW301" s="307"/>
      <c r="AX301" s="307"/>
      <c r="AY301" s="307"/>
    </row>
    <row r="302" spans="1:51" s="308" customFormat="1" ht="15.75" customHeight="1" x14ac:dyDescent="0.25">
      <c r="A302" s="326"/>
      <c r="B302" s="326"/>
      <c r="C302" s="326"/>
      <c r="D302" s="326"/>
      <c r="E302" s="326"/>
      <c r="F302" s="326"/>
      <c r="G302" s="326"/>
      <c r="H302" s="326"/>
      <c r="I302" s="326"/>
      <c r="J302" s="326"/>
      <c r="K302" s="326"/>
      <c r="L302" s="326"/>
      <c r="M302" s="326"/>
      <c r="N302" s="326"/>
      <c r="O302" s="326"/>
      <c r="P302" s="326"/>
      <c r="Q302" s="326"/>
      <c r="R302" s="326"/>
      <c r="S302" s="326"/>
      <c r="T302" s="326"/>
      <c r="U302" s="326"/>
      <c r="V302" s="326"/>
      <c r="W302" s="326"/>
      <c r="X302" s="326"/>
      <c r="Y302" s="326"/>
      <c r="Z302" s="326"/>
      <c r="AA302" s="326"/>
      <c r="AB302" s="326"/>
      <c r="AC302" s="326"/>
      <c r="AD302" s="326"/>
      <c r="AE302" s="326"/>
      <c r="AF302" s="326"/>
      <c r="AG302" s="326"/>
      <c r="AH302" s="326"/>
      <c r="AJ302" s="508"/>
      <c r="AK302" s="307"/>
      <c r="AL302" s="307"/>
      <c r="AM302" s="307"/>
      <c r="AN302" s="307"/>
      <c r="AO302" s="307"/>
      <c r="AP302" s="307"/>
      <c r="AQ302" s="307"/>
      <c r="AR302" s="307"/>
      <c r="AS302" s="307"/>
      <c r="AT302" s="307"/>
      <c r="AU302" s="307"/>
      <c r="AV302" s="307"/>
      <c r="AW302" s="307"/>
      <c r="AX302" s="307"/>
      <c r="AY302" s="307"/>
    </row>
    <row r="303" spans="1:51" s="308" customFormat="1" ht="11.25" customHeight="1" x14ac:dyDescent="0.25">
      <c r="A303" s="326"/>
      <c r="B303" s="326"/>
      <c r="C303" s="326"/>
      <c r="D303" s="326"/>
      <c r="E303" s="326"/>
      <c r="F303" s="326"/>
      <c r="G303" s="326"/>
      <c r="H303" s="326"/>
      <c r="I303" s="326"/>
      <c r="J303" s="326"/>
      <c r="K303" s="326"/>
      <c r="L303" s="326"/>
      <c r="M303" s="326"/>
      <c r="N303" s="326"/>
      <c r="O303" s="326"/>
      <c r="P303" s="326"/>
      <c r="Q303" s="326"/>
      <c r="R303" s="326"/>
      <c r="S303" s="326"/>
      <c r="T303" s="326"/>
      <c r="U303" s="326"/>
      <c r="V303" s="326"/>
      <c r="W303" s="326"/>
      <c r="X303" s="326"/>
      <c r="Y303" s="326"/>
      <c r="Z303" s="326"/>
      <c r="AA303" s="326"/>
      <c r="AB303" s="326"/>
      <c r="AC303" s="326"/>
      <c r="AD303" s="326"/>
      <c r="AE303" s="326"/>
      <c r="AF303" s="326"/>
      <c r="AG303" s="326"/>
      <c r="AH303" s="326"/>
      <c r="AJ303" s="508"/>
      <c r="AK303" s="307"/>
      <c r="AL303" s="307"/>
      <c r="AM303" s="307"/>
      <c r="AN303" s="307"/>
      <c r="AO303" s="307"/>
      <c r="AP303" s="307"/>
      <c r="AQ303" s="307"/>
      <c r="AR303" s="307"/>
      <c r="AS303" s="307"/>
      <c r="AT303" s="307"/>
      <c r="AU303" s="307"/>
      <c r="AV303" s="307"/>
      <c r="AW303" s="307"/>
      <c r="AX303" s="307"/>
      <c r="AY303" s="307"/>
    </row>
    <row r="304" spans="1:51" s="308" customFormat="1" ht="14.25" customHeight="1" x14ac:dyDescent="0.25">
      <c r="A304" s="1454" t="s">
        <v>197</v>
      </c>
      <c r="B304" s="1454" t="s">
        <v>198</v>
      </c>
      <c r="C304" s="1454"/>
      <c r="D304" s="1454"/>
      <c r="E304" s="1454"/>
      <c r="F304" s="1454"/>
      <c r="G304" s="1454"/>
      <c r="H304" s="1454"/>
      <c r="I304" s="1454"/>
      <c r="J304" s="1454"/>
      <c r="K304" s="1454"/>
      <c r="L304" s="1454"/>
      <c r="M304" s="1454"/>
      <c r="N304" s="1454"/>
      <c r="O304" s="1454"/>
      <c r="P304" s="1454"/>
      <c r="Q304" s="1454"/>
      <c r="R304" s="1454"/>
      <c r="S304" s="1454"/>
      <c r="T304" s="1454"/>
      <c r="U304" s="1454"/>
      <c r="V304" s="1454"/>
      <c r="W304" s="1454"/>
      <c r="X304" s="1454"/>
      <c r="Y304" s="1454"/>
      <c r="Z304" s="1454"/>
      <c r="AA304" s="1454"/>
      <c r="AB304" s="1454"/>
      <c r="AC304" s="1454"/>
      <c r="AD304" s="1454"/>
      <c r="AE304" s="1454"/>
      <c r="AF304" s="1454"/>
      <c r="AG304" s="1454"/>
      <c r="AH304" s="1454"/>
      <c r="AJ304" s="512"/>
    </row>
    <row r="305" spans="1:51" s="308" customFormat="1" ht="11.25" customHeight="1" x14ac:dyDescent="0.25">
      <c r="A305" s="326"/>
      <c r="B305" s="326"/>
      <c r="C305" s="326"/>
      <c r="D305" s="326"/>
      <c r="E305" s="326"/>
      <c r="F305" s="326"/>
      <c r="G305" s="326"/>
      <c r="H305" s="326"/>
      <c r="I305" s="326"/>
      <c r="J305" s="326"/>
      <c r="K305" s="326"/>
      <c r="L305" s="326"/>
      <c r="M305" s="326"/>
      <c r="N305" s="326"/>
      <c r="O305" s="326"/>
      <c r="P305" s="326"/>
      <c r="Q305" s="326"/>
      <c r="R305" s="326"/>
      <c r="S305" s="326"/>
      <c r="T305" s="326"/>
      <c r="U305" s="326"/>
      <c r="V305" s="326"/>
      <c r="W305" s="326"/>
      <c r="X305" s="326"/>
      <c r="Y305" s="326"/>
      <c r="Z305" s="326"/>
      <c r="AA305" s="326"/>
      <c r="AB305" s="326"/>
      <c r="AC305" s="326"/>
      <c r="AD305" s="326"/>
      <c r="AE305" s="326"/>
      <c r="AF305" s="326"/>
      <c r="AG305" s="326"/>
      <c r="AH305" s="326"/>
      <c r="AJ305" s="508"/>
      <c r="AK305" s="307"/>
      <c r="AL305" s="307"/>
      <c r="AM305" s="307"/>
      <c r="AN305" s="307"/>
      <c r="AO305" s="307"/>
      <c r="AP305" s="307"/>
      <c r="AQ305" s="307"/>
      <c r="AR305" s="307"/>
      <c r="AS305" s="307"/>
      <c r="AT305" s="307"/>
      <c r="AU305" s="307"/>
      <c r="AV305" s="307"/>
      <c r="AW305" s="307"/>
      <c r="AX305" s="307"/>
      <c r="AY305" s="307"/>
    </row>
    <row r="306" spans="1:51" s="308" customFormat="1" ht="14.25" customHeight="1" x14ac:dyDescent="0.25">
      <c r="A306" s="1454" t="s">
        <v>199</v>
      </c>
      <c r="B306" s="1454"/>
      <c r="C306" s="1454"/>
      <c r="D306" s="1454"/>
      <c r="E306" s="1454"/>
      <c r="F306" s="1454"/>
      <c r="G306" s="1454"/>
      <c r="H306" s="1454"/>
      <c r="I306" s="1454"/>
      <c r="J306" s="1454"/>
      <c r="K306" s="1454"/>
      <c r="L306" s="1454"/>
      <c r="M306" s="1454"/>
      <c r="N306" s="1454"/>
      <c r="O306" s="1454"/>
      <c r="P306" s="1454"/>
      <c r="Q306" s="1454"/>
      <c r="R306" s="1454"/>
      <c r="S306" s="1454"/>
      <c r="T306" s="1454"/>
      <c r="U306" s="1454"/>
      <c r="V306" s="1454"/>
      <c r="W306" s="1454"/>
      <c r="X306" s="1454"/>
      <c r="Y306" s="1454"/>
      <c r="Z306" s="1454"/>
      <c r="AA306" s="1454"/>
      <c r="AB306" s="1454"/>
      <c r="AC306" s="1454"/>
      <c r="AD306" s="1454"/>
      <c r="AE306" s="1454"/>
      <c r="AF306" s="1454"/>
      <c r="AG306" s="1454"/>
      <c r="AH306" s="1454"/>
      <c r="AJ306" s="512"/>
    </row>
    <row r="307" spans="1:51" s="308" customFormat="1" ht="14.25" customHeight="1" x14ac:dyDescent="0.25">
      <c r="A307" s="1454" t="s">
        <v>200</v>
      </c>
      <c r="B307" s="1454"/>
      <c r="C307" s="1454"/>
      <c r="D307" s="1454"/>
      <c r="E307" s="1454"/>
      <c r="F307" s="1454"/>
      <c r="G307" s="1454"/>
      <c r="H307" s="1454"/>
      <c r="I307" s="1454"/>
      <c r="J307" s="1454"/>
      <c r="K307" s="1454"/>
      <c r="L307" s="1454"/>
      <c r="M307" s="1454"/>
      <c r="N307" s="1454"/>
      <c r="O307" s="1454"/>
      <c r="P307" s="1454"/>
      <c r="Q307" s="1454"/>
      <c r="R307" s="1454"/>
      <c r="S307" s="1454"/>
      <c r="T307" s="1454"/>
      <c r="U307" s="1454"/>
      <c r="V307" s="1454"/>
      <c r="W307" s="1454"/>
      <c r="X307" s="1454"/>
      <c r="Y307" s="1454"/>
      <c r="Z307" s="1454"/>
      <c r="AA307" s="1454"/>
      <c r="AB307" s="1454"/>
      <c r="AC307" s="1454"/>
      <c r="AD307" s="1454"/>
      <c r="AE307" s="1454"/>
      <c r="AF307" s="1454"/>
      <c r="AG307" s="1454"/>
      <c r="AH307" s="1454"/>
      <c r="AJ307" s="512"/>
    </row>
    <row r="308" spans="1:51" s="308" customFormat="1" ht="14.25" customHeight="1" x14ac:dyDescent="0.25">
      <c r="A308" s="1454" t="s">
        <v>201</v>
      </c>
      <c r="B308" s="1454"/>
      <c r="C308" s="1454"/>
      <c r="D308" s="1454"/>
      <c r="E308" s="1454"/>
      <c r="F308" s="1454"/>
      <c r="G308" s="1454"/>
      <c r="H308" s="1454"/>
      <c r="I308" s="1454"/>
      <c r="J308" s="1454"/>
      <c r="K308" s="1454"/>
      <c r="L308" s="1454"/>
      <c r="M308" s="1454"/>
      <c r="N308" s="1454"/>
      <c r="O308" s="1454"/>
      <c r="P308" s="1454"/>
      <c r="Q308" s="1454"/>
      <c r="R308" s="1454"/>
      <c r="S308" s="1454"/>
      <c r="T308" s="1454"/>
      <c r="U308" s="1454"/>
      <c r="V308" s="1454"/>
      <c r="W308" s="1454"/>
      <c r="X308" s="1454"/>
      <c r="Y308" s="1454"/>
      <c r="Z308" s="1454"/>
      <c r="AA308" s="1454"/>
      <c r="AB308" s="1454"/>
      <c r="AC308" s="1454"/>
      <c r="AD308" s="1454"/>
      <c r="AE308" s="1454"/>
      <c r="AF308" s="1454"/>
      <c r="AG308" s="1454"/>
      <c r="AH308" s="1454"/>
      <c r="AJ308" s="512"/>
    </row>
    <row r="309" spans="1:51" s="308" customFormat="1" ht="14.25" customHeight="1" x14ac:dyDescent="0.25">
      <c r="A309" s="1454" t="s">
        <v>202</v>
      </c>
      <c r="B309" s="1454"/>
      <c r="C309" s="1454"/>
      <c r="D309" s="1454"/>
      <c r="E309" s="1454"/>
      <c r="F309" s="1454"/>
      <c r="G309" s="1454"/>
      <c r="H309" s="1454"/>
      <c r="I309" s="1454"/>
      <c r="J309" s="1454"/>
      <c r="K309" s="1454"/>
      <c r="L309" s="1454"/>
      <c r="M309" s="1454"/>
      <c r="N309" s="1454"/>
      <c r="O309" s="1454"/>
      <c r="P309" s="1454"/>
      <c r="Q309" s="1454"/>
      <c r="R309" s="1454"/>
      <c r="S309" s="1454"/>
      <c r="T309" s="1454"/>
      <c r="U309" s="1454"/>
      <c r="V309" s="1454"/>
      <c r="W309" s="1454"/>
      <c r="X309" s="1454"/>
      <c r="Y309" s="1454"/>
      <c r="Z309" s="1454"/>
      <c r="AA309" s="1454"/>
      <c r="AB309" s="1454"/>
      <c r="AC309" s="1454"/>
      <c r="AD309" s="1454"/>
      <c r="AE309" s="1454"/>
      <c r="AF309" s="1454"/>
      <c r="AG309" s="1454"/>
      <c r="AH309" s="1454"/>
      <c r="AJ309" s="512"/>
    </row>
    <row r="310" spans="1:51" s="308" customFormat="1" ht="11.25" customHeight="1" x14ac:dyDescent="0.25">
      <c r="A310" s="326"/>
      <c r="B310" s="326"/>
      <c r="C310" s="326"/>
      <c r="D310" s="326"/>
      <c r="E310" s="326"/>
      <c r="F310" s="326"/>
      <c r="G310" s="326"/>
      <c r="H310" s="326"/>
      <c r="I310" s="326"/>
      <c r="J310" s="326"/>
      <c r="K310" s="326"/>
      <c r="L310" s="326"/>
      <c r="M310" s="326"/>
      <c r="N310" s="326"/>
      <c r="O310" s="326"/>
      <c r="P310" s="326"/>
      <c r="Q310" s="326"/>
      <c r="R310" s="326"/>
      <c r="S310" s="326"/>
      <c r="T310" s="326"/>
      <c r="U310" s="326"/>
      <c r="V310" s="326"/>
      <c r="W310" s="326"/>
      <c r="X310" s="326"/>
      <c r="Y310" s="326"/>
      <c r="Z310" s="326"/>
      <c r="AA310" s="326"/>
      <c r="AB310" s="326"/>
      <c r="AC310" s="326"/>
      <c r="AD310" s="326"/>
      <c r="AE310" s="326"/>
      <c r="AF310" s="326"/>
      <c r="AG310" s="326"/>
      <c r="AH310" s="326"/>
      <c r="AJ310" s="508"/>
      <c r="AK310" s="307"/>
      <c r="AL310" s="307"/>
      <c r="AM310" s="307"/>
      <c r="AN310" s="307"/>
      <c r="AO310" s="307"/>
      <c r="AP310" s="307"/>
      <c r="AQ310" s="307"/>
      <c r="AR310" s="307"/>
      <c r="AS310" s="307"/>
      <c r="AT310" s="307"/>
      <c r="AU310" s="307"/>
      <c r="AV310" s="307"/>
      <c r="AW310" s="307"/>
      <c r="AX310" s="307"/>
      <c r="AY310" s="307"/>
    </row>
    <row r="311" spans="1:51" ht="14.1" customHeight="1" x14ac:dyDescent="0.25">
      <c r="A311" s="1455" t="s">
        <v>203</v>
      </c>
      <c r="B311" s="1455"/>
      <c r="C311" s="1455"/>
      <c r="D311" s="1455"/>
      <c r="E311" s="1455"/>
      <c r="F311" s="1455"/>
      <c r="G311" s="1455"/>
      <c r="H311" s="1455"/>
      <c r="I311" s="1455"/>
      <c r="J311" s="1455"/>
      <c r="K311" s="1455"/>
      <c r="L311" s="1455"/>
      <c r="M311" s="1455"/>
      <c r="N311" s="1455"/>
      <c r="O311" s="1455"/>
      <c r="P311" s="1455"/>
      <c r="Q311" s="1455"/>
      <c r="R311" s="1455"/>
      <c r="S311" s="1455"/>
      <c r="T311" s="1455"/>
      <c r="U311" s="1455"/>
      <c r="V311" s="1455"/>
      <c r="W311" s="1455"/>
      <c r="X311" s="1455"/>
      <c r="Y311" s="1455"/>
      <c r="Z311" s="1455"/>
      <c r="AA311" s="1455"/>
      <c r="AB311" s="1455"/>
      <c r="AC311" s="1455"/>
      <c r="AD311" s="1455"/>
      <c r="AE311" s="1455"/>
      <c r="AF311" s="1455"/>
      <c r="AG311" s="1455"/>
      <c r="AH311" s="1455"/>
      <c r="AJ311" s="652"/>
    </row>
    <row r="312" spans="1:51" s="308" customFormat="1" ht="11.25" customHeight="1" x14ac:dyDescent="0.25">
      <c r="A312" s="326"/>
      <c r="B312" s="326"/>
      <c r="C312" s="326"/>
      <c r="D312" s="326"/>
      <c r="E312" s="326"/>
      <c r="F312" s="326"/>
      <c r="G312" s="326"/>
      <c r="H312" s="326"/>
      <c r="I312" s="326"/>
      <c r="J312" s="326"/>
      <c r="K312" s="326"/>
      <c r="L312" s="326"/>
      <c r="M312" s="326"/>
      <c r="N312" s="326"/>
      <c r="O312" s="326"/>
      <c r="P312" s="326"/>
      <c r="Q312" s="326"/>
      <c r="R312" s="326"/>
      <c r="S312" s="326"/>
      <c r="T312" s="326"/>
      <c r="U312" s="326"/>
      <c r="V312" s="326"/>
      <c r="W312" s="326"/>
      <c r="X312" s="326"/>
      <c r="Y312" s="326"/>
      <c r="Z312" s="326"/>
      <c r="AA312" s="326"/>
      <c r="AB312" s="326"/>
      <c r="AC312" s="326"/>
      <c r="AD312" s="326"/>
      <c r="AE312" s="326"/>
      <c r="AF312" s="326"/>
      <c r="AG312" s="326"/>
      <c r="AH312" s="326"/>
      <c r="AJ312" s="508"/>
      <c r="AK312" s="307"/>
      <c r="AL312" s="307"/>
      <c r="AM312" s="307"/>
      <c r="AN312" s="307"/>
      <c r="AO312" s="307"/>
      <c r="AP312" s="307"/>
      <c r="AQ312" s="307"/>
      <c r="AR312" s="307"/>
      <c r="AS312" s="307"/>
      <c r="AT312" s="307"/>
      <c r="AU312" s="307"/>
      <c r="AV312" s="307"/>
      <c r="AW312" s="307"/>
      <c r="AX312" s="307"/>
      <c r="AY312" s="307"/>
    </row>
    <row r="313" spans="1:51" s="308" customFormat="1" ht="27.75" customHeight="1" x14ac:dyDescent="0.25">
      <c r="A313" s="1454" t="s">
        <v>204</v>
      </c>
      <c r="B313" s="1454"/>
      <c r="C313" s="1454"/>
      <c r="D313" s="1454"/>
      <c r="E313" s="1454"/>
      <c r="F313" s="1454"/>
      <c r="G313" s="1454"/>
      <c r="H313" s="1454"/>
      <c r="I313" s="1454"/>
      <c r="J313" s="1454"/>
      <c r="K313" s="1454"/>
      <c r="L313" s="1454"/>
      <c r="M313" s="1454"/>
      <c r="N313" s="1454"/>
      <c r="O313" s="1454"/>
      <c r="P313" s="1454"/>
      <c r="Q313" s="1454"/>
      <c r="R313" s="1454"/>
      <c r="S313" s="1454"/>
      <c r="T313" s="1454"/>
      <c r="U313" s="1454"/>
      <c r="V313" s="1454"/>
      <c r="W313" s="1454"/>
      <c r="X313" s="1454"/>
      <c r="Y313" s="1454"/>
      <c r="Z313" s="1454"/>
      <c r="AA313" s="1454"/>
      <c r="AB313" s="1454"/>
      <c r="AC313" s="1454"/>
      <c r="AD313" s="1454"/>
      <c r="AE313" s="1454"/>
      <c r="AF313" s="1454"/>
      <c r="AG313" s="1454"/>
      <c r="AH313" s="1454"/>
      <c r="AJ313" s="512"/>
    </row>
    <row r="314" spans="1:51" s="308" customFormat="1" ht="11.25" customHeight="1" x14ac:dyDescent="0.25">
      <c r="A314" s="326"/>
      <c r="B314" s="326"/>
      <c r="C314" s="326"/>
      <c r="D314" s="326"/>
      <c r="E314" s="326"/>
      <c r="F314" s="326"/>
      <c r="G314" s="326"/>
      <c r="H314" s="326"/>
      <c r="I314" s="326"/>
      <c r="J314" s="326"/>
      <c r="K314" s="326"/>
      <c r="L314" s="326"/>
      <c r="M314" s="326"/>
      <c r="N314" s="326"/>
      <c r="O314" s="326"/>
      <c r="P314" s="326"/>
      <c r="Q314" s="326"/>
      <c r="R314" s="326"/>
      <c r="S314" s="326"/>
      <c r="T314" s="326"/>
      <c r="U314" s="326"/>
      <c r="V314" s="326"/>
      <c r="W314" s="326"/>
      <c r="X314" s="326"/>
      <c r="Y314" s="326"/>
      <c r="Z314" s="326"/>
      <c r="AA314" s="326"/>
      <c r="AB314" s="326"/>
      <c r="AC314" s="326"/>
      <c r="AD314" s="326"/>
      <c r="AE314" s="326"/>
      <c r="AF314" s="326"/>
      <c r="AG314" s="326"/>
      <c r="AH314" s="326"/>
      <c r="AJ314" s="508"/>
      <c r="AK314" s="307"/>
      <c r="AL314" s="307"/>
      <c r="AM314" s="307"/>
      <c r="AN314" s="307"/>
      <c r="AO314" s="307"/>
      <c r="AP314" s="307"/>
      <c r="AQ314" s="307"/>
      <c r="AR314" s="307"/>
      <c r="AS314" s="307"/>
      <c r="AT314" s="307"/>
      <c r="AU314" s="307"/>
      <c r="AV314" s="307"/>
      <c r="AW314" s="307"/>
      <c r="AX314" s="307"/>
      <c r="AY314" s="307"/>
    </row>
    <row r="315" spans="1:51" s="305" customFormat="1" ht="14.25" customHeight="1" x14ac:dyDescent="0.25">
      <c r="A315" s="327"/>
      <c r="B315" s="327"/>
      <c r="C315" s="327"/>
      <c r="D315" s="327"/>
      <c r="E315" s="327"/>
      <c r="F315" s="327"/>
      <c r="G315" s="327"/>
      <c r="H315" s="327"/>
      <c r="I315" s="327"/>
      <c r="J315" s="327"/>
      <c r="K315" s="327"/>
      <c r="L315" s="327"/>
      <c r="M315" s="327"/>
      <c r="N315" s="327"/>
      <c r="O315" s="327"/>
      <c r="P315" s="327"/>
      <c r="Q315" s="327"/>
      <c r="R315" s="327"/>
      <c r="S315" s="327"/>
      <c r="T315" s="327"/>
      <c r="U315" s="327"/>
      <c r="V315" s="1471" t="s">
        <v>205</v>
      </c>
      <c r="W315" s="1471"/>
      <c r="X315" s="327"/>
      <c r="Y315" s="327"/>
      <c r="Z315" s="327"/>
      <c r="AA315" s="327"/>
      <c r="AB315" s="327"/>
      <c r="AC315" s="327"/>
      <c r="AD315" s="327"/>
      <c r="AE315" s="327"/>
      <c r="AF315" s="327"/>
      <c r="AG315" s="327"/>
      <c r="AH315" s="327"/>
      <c r="AJ315" s="651"/>
    </row>
    <row r="316" spans="1:51" s="305" customFormat="1" ht="12" customHeight="1" x14ac:dyDescent="0.25">
      <c r="A316" s="327"/>
      <c r="B316" s="327"/>
      <c r="C316" s="327"/>
      <c r="D316" s="327"/>
      <c r="E316" s="327"/>
      <c r="F316" s="327"/>
      <c r="G316" s="327"/>
      <c r="H316" s="327"/>
      <c r="I316" s="327"/>
      <c r="J316" s="327"/>
      <c r="K316" s="327"/>
      <c r="L316" s="327"/>
      <c r="M316" s="327"/>
      <c r="N316" s="327"/>
      <c r="O316" s="327"/>
      <c r="P316" s="327"/>
      <c r="Q316" s="327"/>
      <c r="R316" s="327"/>
      <c r="S316" s="327"/>
      <c r="T316" s="327"/>
      <c r="U316" s="327"/>
      <c r="V316" s="327"/>
      <c r="W316" s="327"/>
      <c r="X316" s="327"/>
      <c r="Y316" s="327"/>
      <c r="Z316" s="327"/>
      <c r="AA316" s="327"/>
      <c r="AB316" s="327"/>
      <c r="AC316" s="327"/>
      <c r="AD316" s="327"/>
      <c r="AE316" s="327"/>
      <c r="AF316" s="327"/>
      <c r="AG316" s="327"/>
      <c r="AH316" s="327"/>
      <c r="AJ316" s="651"/>
    </row>
    <row r="317" spans="1:51" s="305" customFormat="1" ht="18.75" customHeight="1" x14ac:dyDescent="0.25">
      <c r="A317" s="327"/>
      <c r="B317" s="327"/>
      <c r="C317" s="327"/>
      <c r="D317" s="327"/>
      <c r="E317" s="327"/>
      <c r="F317" s="327"/>
      <c r="G317" s="327"/>
      <c r="H317" s="327"/>
      <c r="I317" s="327"/>
      <c r="J317" s="327"/>
      <c r="K317" s="327"/>
      <c r="L317" s="327"/>
      <c r="M317" s="327"/>
      <c r="N317" s="327"/>
      <c r="O317" s="327"/>
      <c r="P317" s="327"/>
      <c r="Q317" s="327"/>
      <c r="R317" s="327"/>
      <c r="S317" s="327"/>
      <c r="T317" s="327"/>
      <c r="U317" s="327"/>
      <c r="V317" s="1471" t="s">
        <v>206</v>
      </c>
      <c r="W317" s="1471"/>
      <c r="X317" s="327"/>
      <c r="Y317" s="327"/>
      <c r="Z317" s="327"/>
      <c r="AA317" s="327"/>
      <c r="AB317" s="327"/>
      <c r="AC317" s="327"/>
      <c r="AD317" s="327"/>
      <c r="AE317" s="327"/>
      <c r="AF317" s="327"/>
      <c r="AG317" s="327"/>
      <c r="AH317" s="327"/>
      <c r="AJ317" s="651"/>
    </row>
    <row r="318" spans="1:51" s="305" customFormat="1" ht="14.25" customHeight="1" x14ac:dyDescent="0.25">
      <c r="A318" s="327"/>
      <c r="B318" s="327"/>
      <c r="C318" s="327"/>
      <c r="D318" s="327"/>
      <c r="E318" s="327"/>
      <c r="F318" s="327"/>
      <c r="G318" s="327"/>
      <c r="H318" s="327"/>
      <c r="I318" s="327"/>
      <c r="J318" s="327"/>
      <c r="K318" s="327"/>
      <c r="L318" s="327"/>
      <c r="M318" s="327"/>
      <c r="N318" s="327"/>
      <c r="O318" s="327"/>
      <c r="P318" s="327"/>
      <c r="Q318" s="327"/>
      <c r="R318" s="327"/>
      <c r="S318" s="327"/>
      <c r="T318" s="327"/>
      <c r="U318" s="327"/>
      <c r="V318" s="660"/>
      <c r="W318" s="660"/>
      <c r="X318" s="327"/>
      <c r="Y318" s="327"/>
      <c r="Z318" s="327"/>
      <c r="AA318" s="327"/>
      <c r="AB318" s="327"/>
      <c r="AC318" s="327"/>
      <c r="AD318" s="327"/>
      <c r="AE318" s="327"/>
      <c r="AF318" s="327"/>
      <c r="AG318" s="327"/>
      <c r="AH318" s="327"/>
      <c r="AJ318" s="651"/>
    </row>
    <row r="319" spans="1:51" s="305" customFormat="1" ht="31.5" customHeight="1" x14ac:dyDescent="0.25">
      <c r="A319" s="327"/>
      <c r="B319" s="327"/>
      <c r="C319" s="327"/>
      <c r="D319" s="327"/>
      <c r="E319" s="327"/>
      <c r="F319" s="327"/>
      <c r="G319" s="327"/>
      <c r="H319" s="327"/>
      <c r="I319" s="327"/>
      <c r="J319" s="327"/>
      <c r="K319" s="327"/>
      <c r="L319" s="327"/>
      <c r="M319" s="327"/>
      <c r="N319" s="327"/>
      <c r="O319" s="327"/>
      <c r="P319" s="327"/>
      <c r="Q319" s="327"/>
      <c r="R319" s="327"/>
      <c r="S319" s="327"/>
      <c r="T319" s="327"/>
      <c r="U319" s="327"/>
      <c r="V319" s="1471" t="s">
        <v>207</v>
      </c>
      <c r="W319" s="1471"/>
      <c r="X319" s="327"/>
      <c r="Y319" s="327"/>
      <c r="Z319" s="327"/>
      <c r="AA319" s="327"/>
      <c r="AB319" s="327"/>
      <c r="AC319" s="327"/>
      <c r="AD319" s="327"/>
      <c r="AE319" s="327"/>
      <c r="AF319" s="327"/>
      <c r="AG319" s="327"/>
      <c r="AH319" s="327"/>
      <c r="AJ319" s="651"/>
    </row>
    <row r="320" spans="1:51" s="305" customFormat="1" ht="12" customHeight="1" x14ac:dyDescent="0.25">
      <c r="A320" s="327"/>
      <c r="B320" s="327"/>
      <c r="C320" s="327"/>
      <c r="D320" s="327"/>
      <c r="E320" s="327"/>
      <c r="F320" s="327"/>
      <c r="G320" s="327"/>
      <c r="H320" s="327"/>
      <c r="I320" s="327"/>
      <c r="J320" s="327"/>
      <c r="K320" s="327"/>
      <c r="L320" s="327"/>
      <c r="M320" s="327"/>
      <c r="N320" s="327"/>
      <c r="O320" s="327"/>
      <c r="P320" s="327"/>
      <c r="Q320" s="327"/>
      <c r="R320" s="327"/>
      <c r="S320" s="327"/>
      <c r="T320" s="327"/>
      <c r="U320" s="327"/>
      <c r="V320" s="327"/>
      <c r="W320" s="327"/>
      <c r="X320" s="327"/>
      <c r="Y320" s="327"/>
      <c r="Z320" s="327"/>
      <c r="AA320" s="327"/>
      <c r="AB320" s="327"/>
      <c r="AC320" s="327"/>
      <c r="AD320" s="327"/>
      <c r="AE320" s="327"/>
      <c r="AF320" s="327"/>
      <c r="AG320" s="327"/>
      <c r="AH320" s="327"/>
      <c r="AJ320" s="651"/>
    </row>
    <row r="321" spans="1:51" s="305" customFormat="1" ht="31.5" customHeight="1" x14ac:dyDescent="0.25">
      <c r="A321" s="327"/>
      <c r="B321" s="327"/>
      <c r="C321" s="327"/>
      <c r="D321" s="327"/>
      <c r="E321" s="327"/>
      <c r="F321" s="327"/>
      <c r="G321" s="327"/>
      <c r="H321" s="327"/>
      <c r="I321" s="327"/>
      <c r="J321" s="327"/>
      <c r="K321" s="327"/>
      <c r="L321" s="327"/>
      <c r="M321" s="327"/>
      <c r="N321" s="327"/>
      <c r="O321" s="327"/>
      <c r="P321" s="327"/>
      <c r="Q321" s="327"/>
      <c r="R321" s="327"/>
      <c r="S321" s="327"/>
      <c r="T321" s="327"/>
      <c r="U321" s="327"/>
      <c r="V321" s="1471" t="s">
        <v>208</v>
      </c>
      <c r="W321" s="1471"/>
      <c r="X321" s="327"/>
      <c r="Y321" s="327"/>
      <c r="Z321" s="327"/>
      <c r="AA321" s="327"/>
      <c r="AB321" s="327"/>
      <c r="AC321" s="327"/>
      <c r="AD321" s="327"/>
      <c r="AE321" s="327"/>
      <c r="AF321" s="327"/>
      <c r="AG321" s="327"/>
      <c r="AH321" s="327"/>
      <c r="AJ321" s="651"/>
    </row>
    <row r="322" spans="1:51" s="308" customFormat="1" ht="11.25" customHeight="1" x14ac:dyDescent="0.25">
      <c r="A322" s="326"/>
      <c r="B322" s="326"/>
      <c r="C322" s="326"/>
      <c r="D322" s="326"/>
      <c r="E322" s="326"/>
      <c r="F322" s="326"/>
      <c r="G322" s="326"/>
      <c r="H322" s="326"/>
      <c r="I322" s="326"/>
      <c r="J322" s="326"/>
      <c r="K322" s="326"/>
      <c r="L322" s="326"/>
      <c r="M322" s="326"/>
      <c r="N322" s="326"/>
      <c r="O322" s="326"/>
      <c r="P322" s="326"/>
      <c r="Q322" s="326"/>
      <c r="R322" s="326"/>
      <c r="S322" s="326"/>
      <c r="T322" s="326"/>
      <c r="U322" s="326"/>
      <c r="V322" s="326"/>
      <c r="W322" s="326"/>
      <c r="X322" s="326"/>
      <c r="Y322" s="326"/>
      <c r="Z322" s="326"/>
      <c r="AA322" s="326"/>
      <c r="AB322" s="326"/>
      <c r="AC322" s="326"/>
      <c r="AD322" s="326"/>
      <c r="AE322" s="326"/>
      <c r="AF322" s="326"/>
      <c r="AG322" s="326"/>
      <c r="AH322" s="326"/>
      <c r="AJ322" s="508"/>
      <c r="AK322" s="307"/>
      <c r="AL322" s="307"/>
      <c r="AM322" s="307"/>
      <c r="AN322" s="307"/>
      <c r="AO322" s="307"/>
      <c r="AP322" s="307"/>
      <c r="AQ322" s="307"/>
      <c r="AR322" s="307"/>
      <c r="AS322" s="307"/>
      <c r="AT322" s="307"/>
      <c r="AU322" s="307"/>
      <c r="AV322" s="307"/>
      <c r="AW322" s="307"/>
      <c r="AX322" s="307"/>
      <c r="AY322" s="307"/>
    </row>
    <row r="323" spans="1:51" s="308" customFormat="1" ht="48" customHeight="1" x14ac:dyDescent="0.25">
      <c r="A323" s="1454" t="s">
        <v>209</v>
      </c>
      <c r="B323" s="1454"/>
      <c r="C323" s="1454"/>
      <c r="D323" s="1454"/>
      <c r="E323" s="1454"/>
      <c r="F323" s="1454"/>
      <c r="G323" s="1454"/>
      <c r="H323" s="1454"/>
      <c r="I323" s="1454"/>
      <c r="J323" s="1454"/>
      <c r="K323" s="1454"/>
      <c r="L323" s="1454"/>
      <c r="M323" s="1454"/>
      <c r="N323" s="1454"/>
      <c r="O323" s="1454"/>
      <c r="P323" s="1454"/>
      <c r="Q323" s="1454"/>
      <c r="R323" s="1454"/>
      <c r="S323" s="1454"/>
      <c r="T323" s="1454"/>
      <c r="U323" s="1454"/>
      <c r="V323" s="1454"/>
      <c r="W323" s="1454"/>
      <c r="X323" s="1454"/>
      <c r="Y323" s="1454"/>
      <c r="Z323" s="1454"/>
      <c r="AA323" s="1454"/>
      <c r="AB323" s="1454"/>
      <c r="AC323" s="1454"/>
      <c r="AD323" s="1454"/>
      <c r="AE323" s="1454"/>
      <c r="AF323" s="1454"/>
      <c r="AG323" s="1454"/>
      <c r="AH323" s="1454"/>
      <c r="AJ323" s="512"/>
    </row>
    <row r="324" spans="1:51" s="308" customFormat="1" ht="11.25" customHeight="1" x14ac:dyDescent="0.25">
      <c r="A324" s="326"/>
      <c r="B324" s="326"/>
      <c r="C324" s="326"/>
      <c r="D324" s="326"/>
      <c r="E324" s="326"/>
      <c r="F324" s="326"/>
      <c r="G324" s="326"/>
      <c r="H324" s="326"/>
      <c r="I324" s="326"/>
      <c r="J324" s="326"/>
      <c r="K324" s="326"/>
      <c r="L324" s="326"/>
      <c r="M324" s="326"/>
      <c r="N324" s="326"/>
      <c r="O324" s="326"/>
      <c r="P324" s="326"/>
      <c r="Q324" s="326"/>
      <c r="R324" s="326"/>
      <c r="S324" s="326"/>
      <c r="T324" s="326"/>
      <c r="U324" s="326"/>
      <c r="V324" s="326"/>
      <c r="W324" s="326"/>
      <c r="X324" s="326"/>
      <c r="Y324" s="326"/>
      <c r="Z324" s="326"/>
      <c r="AA324" s="326"/>
      <c r="AB324" s="326"/>
      <c r="AC324" s="326"/>
      <c r="AD324" s="326"/>
      <c r="AE324" s="326"/>
      <c r="AF324" s="326"/>
      <c r="AG324" s="326"/>
      <c r="AH324" s="326"/>
      <c r="AJ324" s="508"/>
      <c r="AK324" s="307"/>
      <c r="AL324" s="307"/>
      <c r="AM324" s="307"/>
      <c r="AN324" s="307"/>
      <c r="AO324" s="307"/>
      <c r="AP324" s="307"/>
      <c r="AQ324" s="307"/>
      <c r="AR324" s="307"/>
      <c r="AS324" s="307"/>
      <c r="AT324" s="307"/>
      <c r="AU324" s="307"/>
      <c r="AV324" s="307"/>
      <c r="AW324" s="307"/>
      <c r="AX324" s="307"/>
      <c r="AY324" s="307"/>
    </row>
    <row r="325" spans="1:51" s="305" customFormat="1" ht="14.1" customHeight="1" x14ac:dyDescent="0.25">
      <c r="A325" s="1426" t="s">
        <v>210</v>
      </c>
      <c r="B325" s="1426"/>
      <c r="C325" s="1426"/>
      <c r="D325" s="1426"/>
      <c r="E325" s="1426"/>
      <c r="F325" s="1426"/>
      <c r="G325" s="1426"/>
      <c r="H325" s="1426"/>
      <c r="I325" s="1426"/>
      <c r="J325" s="1426"/>
      <c r="K325" s="1426"/>
      <c r="L325" s="1426"/>
      <c r="M325" s="1426"/>
      <c r="N325" s="1426"/>
      <c r="O325" s="1426"/>
      <c r="P325" s="1426"/>
      <c r="Q325" s="1426"/>
      <c r="R325" s="1426"/>
      <c r="S325" s="1426"/>
      <c r="T325" s="1426"/>
      <c r="U325" s="1426"/>
      <c r="V325" s="1426"/>
      <c r="W325" s="1426"/>
      <c r="X325" s="1426"/>
      <c r="Y325" s="1426"/>
      <c r="Z325" s="1426"/>
      <c r="AA325" s="1426"/>
      <c r="AB325" s="1426"/>
      <c r="AC325" s="1426"/>
      <c r="AD325" s="1426"/>
      <c r="AE325" s="1426"/>
      <c r="AF325" s="1426"/>
      <c r="AG325" s="1426"/>
      <c r="AH325" s="1426"/>
      <c r="AJ325" s="651"/>
    </row>
    <row r="326" spans="1:51" s="305" customFormat="1" ht="15" customHeight="1" x14ac:dyDescent="0.25">
      <c r="A326" s="327"/>
      <c r="B326" s="327"/>
      <c r="C326" s="327"/>
      <c r="D326" s="327"/>
      <c r="E326" s="327"/>
      <c r="F326" s="327"/>
      <c r="G326" s="327"/>
      <c r="H326" s="327"/>
      <c r="I326" s="327"/>
      <c r="J326" s="1466" t="s">
        <v>211</v>
      </c>
      <c r="K326" s="1466"/>
      <c r="L326" s="1466"/>
      <c r="M326" s="1466"/>
      <c r="N326" s="1466"/>
      <c r="O326" s="1466"/>
      <c r="P326" s="1466"/>
      <c r="Q326" s="1466"/>
      <c r="R326" s="1466"/>
      <c r="S326" s="1466"/>
      <c r="T326" s="1466" t="s">
        <v>212</v>
      </c>
      <c r="U326" s="1466"/>
      <c r="V326" s="1466"/>
      <c r="W326" s="1466"/>
      <c r="X326" s="1466"/>
      <c r="Y326" s="1466"/>
      <c r="Z326" s="327"/>
      <c r="AA326" s="327"/>
      <c r="AB326" s="327"/>
      <c r="AC326" s="327"/>
      <c r="AD326" s="327"/>
      <c r="AE326" s="327"/>
      <c r="AF326" s="327"/>
      <c r="AG326" s="327"/>
      <c r="AH326" s="327"/>
      <c r="AJ326" s="651"/>
    </row>
    <row r="327" spans="1:51" s="305" customFormat="1" ht="15" customHeight="1" x14ac:dyDescent="0.25">
      <c r="A327" s="327"/>
      <c r="B327" s="327"/>
      <c r="C327" s="327"/>
      <c r="D327" s="327"/>
      <c r="E327" s="327"/>
      <c r="F327" s="327"/>
      <c r="G327" s="327"/>
      <c r="H327" s="327"/>
      <c r="I327" s="327"/>
      <c r="J327" s="1421" t="s">
        <v>213</v>
      </c>
      <c r="K327" s="1421"/>
      <c r="L327" s="1421"/>
      <c r="M327" s="1421"/>
      <c r="N327" s="1421"/>
      <c r="O327" s="1421"/>
      <c r="P327" s="1421"/>
      <c r="Q327" s="1421"/>
      <c r="R327" s="1421"/>
      <c r="S327" s="1421"/>
      <c r="T327" s="1421">
        <v>2</v>
      </c>
      <c r="U327" s="1421"/>
      <c r="V327" s="1421"/>
      <c r="W327" s="1421"/>
      <c r="X327" s="1421"/>
      <c r="Y327" s="1421"/>
      <c r="Z327" s="327"/>
      <c r="AA327" s="327"/>
      <c r="AB327" s="327"/>
      <c r="AC327" s="327"/>
      <c r="AD327" s="327"/>
      <c r="AE327" s="327"/>
      <c r="AF327" s="327"/>
      <c r="AG327" s="327"/>
      <c r="AH327" s="327"/>
      <c r="AJ327" s="651"/>
    </row>
    <row r="328" spans="1:51" s="305" customFormat="1" ht="15" customHeight="1" x14ac:dyDescent="0.25">
      <c r="A328" s="327"/>
      <c r="B328" s="327"/>
      <c r="C328" s="327"/>
      <c r="D328" s="327"/>
      <c r="E328" s="327"/>
      <c r="F328" s="327"/>
      <c r="G328" s="327"/>
      <c r="H328" s="327"/>
      <c r="I328" s="327"/>
      <c r="J328" s="1421" t="s">
        <v>214</v>
      </c>
      <c r="K328" s="1421"/>
      <c r="L328" s="1421"/>
      <c r="M328" s="1421"/>
      <c r="N328" s="1421"/>
      <c r="O328" s="1421"/>
      <c r="P328" s="1421"/>
      <c r="Q328" s="1421"/>
      <c r="R328" s="1421"/>
      <c r="S328" s="1421"/>
      <c r="T328" s="1421">
        <v>1.732</v>
      </c>
      <c r="U328" s="1421"/>
      <c r="V328" s="1421"/>
      <c r="W328" s="1421"/>
      <c r="X328" s="1421"/>
      <c r="Y328" s="1421"/>
      <c r="Z328" s="327"/>
      <c r="AA328" s="327"/>
      <c r="AB328" s="327"/>
      <c r="AC328" s="327"/>
      <c r="AD328" s="327"/>
      <c r="AE328" s="327"/>
      <c r="AF328" s="327"/>
      <c r="AG328" s="327"/>
      <c r="AH328" s="327"/>
      <c r="AJ328" s="651"/>
    </row>
    <row r="329" spans="1:51" s="308" customFormat="1" ht="11.25" customHeight="1" x14ac:dyDescent="0.25">
      <c r="A329" s="326"/>
      <c r="B329" s="326"/>
      <c r="C329" s="326"/>
      <c r="D329" s="326"/>
      <c r="E329" s="326"/>
      <c r="F329" s="326"/>
      <c r="G329" s="326"/>
      <c r="H329" s="326"/>
      <c r="I329" s="326"/>
      <c r="J329" s="326"/>
      <c r="K329" s="326"/>
      <c r="L329" s="326"/>
      <c r="M329" s="326"/>
      <c r="N329" s="326"/>
      <c r="O329" s="326"/>
      <c r="P329" s="326"/>
      <c r="Q329" s="326"/>
      <c r="R329" s="326"/>
      <c r="S329" s="326"/>
      <c r="T329" s="326"/>
      <c r="U329" s="326"/>
      <c r="V329" s="326"/>
      <c r="W329" s="326"/>
      <c r="X329" s="326"/>
      <c r="Y329" s="326"/>
      <c r="Z329" s="326"/>
      <c r="AA329" s="326"/>
      <c r="AB329" s="326"/>
      <c r="AC329" s="326"/>
      <c r="AD329" s="326"/>
      <c r="AE329" s="326"/>
      <c r="AF329" s="326"/>
      <c r="AG329" s="326"/>
      <c r="AH329" s="326"/>
      <c r="AJ329" s="508"/>
      <c r="AK329" s="307"/>
      <c r="AL329" s="307"/>
      <c r="AM329" s="307"/>
      <c r="AN329" s="307"/>
      <c r="AO329" s="307"/>
      <c r="AP329" s="307"/>
      <c r="AQ329" s="307"/>
      <c r="AR329" s="307"/>
      <c r="AS329" s="307"/>
      <c r="AT329" s="307"/>
      <c r="AU329" s="307"/>
      <c r="AV329" s="307"/>
      <c r="AW329" s="307"/>
      <c r="AX329" s="307"/>
      <c r="AY329" s="307"/>
    </row>
    <row r="330" spans="1:51" s="305" customFormat="1" ht="33" customHeight="1" x14ac:dyDescent="0.25">
      <c r="A330" s="327"/>
      <c r="B330" s="327"/>
      <c r="C330" s="327"/>
      <c r="D330" s="327"/>
      <c r="E330" s="327"/>
      <c r="F330" s="327"/>
      <c r="G330" s="327"/>
      <c r="H330" s="327"/>
      <c r="I330" s="327"/>
      <c r="J330" s="327"/>
      <c r="K330" s="327"/>
      <c r="L330" s="327"/>
      <c r="M330" s="327"/>
      <c r="N330" s="327"/>
      <c r="O330" s="327"/>
      <c r="P330" s="327"/>
      <c r="Q330" s="327"/>
      <c r="R330" s="327"/>
      <c r="S330" s="327"/>
      <c r="T330" s="327"/>
      <c r="U330" s="327"/>
      <c r="V330" s="1471" t="s">
        <v>215</v>
      </c>
      <c r="W330" s="1471"/>
      <c r="X330" s="327"/>
      <c r="Y330" s="327"/>
      <c r="Z330" s="327"/>
      <c r="AA330" s="327"/>
      <c r="AB330" s="327"/>
      <c r="AC330" s="327"/>
      <c r="AD330" s="327"/>
      <c r="AE330" s="327"/>
      <c r="AF330" s="327"/>
      <c r="AG330" s="327"/>
      <c r="AH330" s="327"/>
      <c r="AJ330" s="651"/>
    </row>
    <row r="331" spans="1:51" s="308" customFormat="1" ht="11.25" customHeight="1" x14ac:dyDescent="0.25">
      <c r="A331" s="326"/>
      <c r="B331" s="326"/>
      <c r="C331" s="326"/>
      <c r="D331" s="326"/>
      <c r="E331" s="326"/>
      <c r="F331" s="326"/>
      <c r="G331" s="326"/>
      <c r="H331" s="326"/>
      <c r="I331" s="326"/>
      <c r="J331" s="326"/>
      <c r="K331" s="326"/>
      <c r="L331" s="326"/>
      <c r="M331" s="326"/>
      <c r="N331" s="326"/>
      <c r="O331" s="326"/>
      <c r="P331" s="326"/>
      <c r="Q331" s="326"/>
      <c r="R331" s="326"/>
      <c r="S331" s="326"/>
      <c r="T331" s="326"/>
      <c r="U331" s="326"/>
      <c r="V331" s="326"/>
      <c r="W331" s="326"/>
      <c r="X331" s="326"/>
      <c r="Y331" s="326"/>
      <c r="Z331" s="326"/>
      <c r="AA331" s="326"/>
      <c r="AB331" s="326"/>
      <c r="AC331" s="326"/>
      <c r="AD331" s="326"/>
      <c r="AE331" s="326"/>
      <c r="AF331" s="326"/>
      <c r="AG331" s="326"/>
      <c r="AH331" s="326"/>
      <c r="AJ331" s="508"/>
      <c r="AK331" s="307"/>
      <c r="AL331" s="307"/>
      <c r="AM331" s="307"/>
      <c r="AN331" s="307"/>
      <c r="AO331" s="307"/>
      <c r="AP331" s="307"/>
      <c r="AQ331" s="307"/>
      <c r="AR331" s="307"/>
      <c r="AS331" s="307"/>
      <c r="AT331" s="307"/>
      <c r="AU331" s="307"/>
      <c r="AV331" s="307"/>
      <c r="AW331" s="307"/>
      <c r="AX331" s="307"/>
      <c r="AY331" s="307"/>
    </row>
    <row r="332" spans="1:51" s="308" customFormat="1" ht="14.25" customHeight="1" x14ac:dyDescent="0.25">
      <c r="A332" s="1454" t="s">
        <v>216</v>
      </c>
      <c r="B332" s="1454"/>
      <c r="C332" s="1454"/>
      <c r="D332" s="1454"/>
      <c r="E332" s="1454"/>
      <c r="F332" s="1454"/>
      <c r="G332" s="1454"/>
      <c r="H332" s="1454"/>
      <c r="I332" s="1454"/>
      <c r="J332" s="1454"/>
      <c r="K332" s="1454"/>
      <c r="L332" s="1454"/>
      <c r="M332" s="1454"/>
      <c r="N332" s="1454"/>
      <c r="O332" s="1454"/>
      <c r="P332" s="1454"/>
      <c r="Q332" s="1454"/>
      <c r="R332" s="1454"/>
      <c r="S332" s="1454"/>
      <c r="T332" s="1454"/>
      <c r="U332" s="1454"/>
      <c r="V332" s="1454"/>
      <c r="W332" s="1454"/>
      <c r="X332" s="1454"/>
      <c r="Y332" s="1454"/>
      <c r="Z332" s="1454"/>
      <c r="AA332" s="1454"/>
      <c r="AB332" s="1454"/>
      <c r="AC332" s="1454"/>
      <c r="AD332" s="1454"/>
      <c r="AE332" s="1454"/>
      <c r="AF332" s="1454"/>
      <c r="AG332" s="1454"/>
      <c r="AH332" s="1454"/>
      <c r="AJ332" s="512"/>
    </row>
    <row r="333" spans="1:51" s="308" customFormat="1" ht="11.25" customHeight="1" x14ac:dyDescent="0.25">
      <c r="A333" s="326"/>
      <c r="B333" s="326"/>
      <c r="C333" s="326"/>
      <c r="D333" s="326"/>
      <c r="E333" s="326"/>
      <c r="F333" s="326"/>
      <c r="G333" s="326"/>
      <c r="H333" s="326"/>
      <c r="I333" s="326"/>
      <c r="J333" s="326"/>
      <c r="K333" s="326"/>
      <c r="L333" s="326"/>
      <c r="M333" s="326"/>
      <c r="N333" s="326"/>
      <c r="O333" s="326"/>
      <c r="P333" s="326"/>
      <c r="Q333" s="326"/>
      <c r="R333" s="326"/>
      <c r="S333" s="326"/>
      <c r="T333" s="326"/>
      <c r="U333" s="326"/>
      <c r="V333" s="326"/>
      <c r="W333" s="326"/>
      <c r="X333" s="326"/>
      <c r="Y333" s="326"/>
      <c r="Z333" s="326"/>
      <c r="AA333" s="326"/>
      <c r="AB333" s="326"/>
      <c r="AC333" s="326"/>
      <c r="AD333" s="326"/>
      <c r="AE333" s="326"/>
      <c r="AF333" s="326"/>
      <c r="AG333" s="326"/>
      <c r="AH333" s="326"/>
      <c r="AJ333" s="508"/>
      <c r="AK333" s="307"/>
      <c r="AL333" s="307"/>
      <c r="AM333" s="307"/>
      <c r="AN333" s="307"/>
      <c r="AO333" s="307"/>
      <c r="AP333" s="307"/>
      <c r="AQ333" s="307"/>
      <c r="AR333" s="307"/>
      <c r="AS333" s="307"/>
      <c r="AT333" s="307"/>
      <c r="AU333" s="307"/>
      <c r="AV333" s="307"/>
      <c r="AW333" s="307"/>
      <c r="AX333" s="307"/>
      <c r="AY333" s="307"/>
    </row>
    <row r="334" spans="1:51" s="305" customFormat="1" ht="39" customHeight="1" x14ac:dyDescent="0.25">
      <c r="A334" s="327"/>
      <c r="B334" s="327"/>
      <c r="C334" s="327"/>
      <c r="D334" s="327"/>
      <c r="E334" s="327"/>
      <c r="F334" s="327"/>
      <c r="G334" s="327"/>
      <c r="H334" s="327"/>
      <c r="I334" s="327"/>
      <c r="J334" s="327"/>
      <c r="K334" s="327"/>
      <c r="L334" s="327"/>
      <c r="M334" s="327"/>
      <c r="N334" s="327"/>
      <c r="O334" s="327"/>
      <c r="P334" s="327"/>
      <c r="Q334" s="327"/>
      <c r="R334" s="327"/>
      <c r="S334" s="327"/>
      <c r="T334" s="327"/>
      <c r="U334" s="327"/>
      <c r="V334" s="1471" t="s">
        <v>217</v>
      </c>
      <c r="W334" s="1471"/>
      <c r="X334" s="327"/>
      <c r="Y334" s="327"/>
      <c r="Z334" s="327"/>
      <c r="AA334" s="327"/>
      <c r="AB334" s="327"/>
      <c r="AC334" s="327"/>
      <c r="AD334" s="327"/>
      <c r="AE334" s="327"/>
      <c r="AF334" s="327"/>
      <c r="AG334" s="327"/>
      <c r="AH334" s="327"/>
      <c r="AJ334" s="651"/>
    </row>
    <row r="335" spans="1:51" s="308" customFormat="1" ht="11.25" customHeight="1" x14ac:dyDescent="0.25">
      <c r="A335" s="326"/>
      <c r="B335" s="326"/>
      <c r="C335" s="326"/>
      <c r="D335" s="326"/>
      <c r="E335" s="326"/>
      <c r="F335" s="326"/>
      <c r="G335" s="326"/>
      <c r="H335" s="326"/>
      <c r="I335" s="326"/>
      <c r="J335" s="326"/>
      <c r="K335" s="326"/>
      <c r="L335" s="326"/>
      <c r="M335" s="326"/>
      <c r="N335" s="326"/>
      <c r="O335" s="326"/>
      <c r="P335" s="326"/>
      <c r="Q335" s="326"/>
      <c r="R335" s="326"/>
      <c r="S335" s="326"/>
      <c r="T335" s="326"/>
      <c r="U335" s="326"/>
      <c r="V335" s="326"/>
      <c r="W335" s="326"/>
      <c r="X335" s="326"/>
      <c r="Y335" s="326"/>
      <c r="Z335" s="326"/>
      <c r="AA335" s="326"/>
      <c r="AB335" s="326"/>
      <c r="AC335" s="326"/>
      <c r="AD335" s="326"/>
      <c r="AE335" s="326"/>
      <c r="AF335" s="326"/>
      <c r="AG335" s="326"/>
      <c r="AH335" s="326"/>
      <c r="AJ335" s="508"/>
      <c r="AK335" s="307"/>
      <c r="AL335" s="307"/>
      <c r="AM335" s="307"/>
      <c r="AN335" s="307"/>
      <c r="AO335" s="307"/>
      <c r="AP335" s="307"/>
      <c r="AQ335" s="307"/>
      <c r="AR335" s="307"/>
      <c r="AS335" s="307"/>
      <c r="AT335" s="307"/>
      <c r="AU335" s="307"/>
      <c r="AV335" s="307"/>
      <c r="AW335" s="307"/>
      <c r="AX335" s="307"/>
      <c r="AY335" s="307"/>
    </row>
    <row r="336" spans="1:51" s="305" customFormat="1" ht="33" customHeight="1" x14ac:dyDescent="0.25">
      <c r="A336" s="327"/>
      <c r="B336" s="327"/>
      <c r="C336" s="327"/>
      <c r="D336" s="327"/>
      <c r="E336" s="327"/>
      <c r="F336" s="327"/>
      <c r="G336" s="327"/>
      <c r="H336" s="327"/>
      <c r="I336" s="327"/>
      <c r="J336" s="327"/>
      <c r="K336" s="327"/>
      <c r="L336" s="327"/>
      <c r="M336" s="327"/>
      <c r="N336" s="327"/>
      <c r="O336" s="327"/>
      <c r="P336" s="327"/>
      <c r="Q336" s="327"/>
      <c r="R336" s="327"/>
      <c r="S336" s="327"/>
      <c r="T336" s="327"/>
      <c r="U336" s="327"/>
      <c r="V336" s="1471" t="s">
        <v>218</v>
      </c>
      <c r="W336" s="1471"/>
      <c r="X336" s="327"/>
      <c r="Y336" s="327"/>
      <c r="Z336" s="327"/>
      <c r="AA336" s="327"/>
      <c r="AB336" s="327"/>
      <c r="AC336" s="327"/>
      <c r="AD336" s="327"/>
      <c r="AE336" s="327"/>
      <c r="AF336" s="327"/>
      <c r="AG336" s="327"/>
      <c r="AH336" s="327"/>
      <c r="AJ336" s="651"/>
    </row>
    <row r="337" spans="1:51" s="308" customFormat="1" ht="11.25" customHeight="1" x14ac:dyDescent="0.25">
      <c r="A337" s="326"/>
      <c r="B337" s="326"/>
      <c r="C337" s="326"/>
      <c r="D337" s="326"/>
      <c r="E337" s="326"/>
      <c r="F337" s="326"/>
      <c r="G337" s="326"/>
      <c r="H337" s="326"/>
      <c r="I337" s="326"/>
      <c r="J337" s="326"/>
      <c r="K337" s="326"/>
      <c r="L337" s="326"/>
      <c r="M337" s="326"/>
      <c r="N337" s="326"/>
      <c r="O337" s="326"/>
      <c r="P337" s="326"/>
      <c r="Q337" s="326"/>
      <c r="R337" s="326"/>
      <c r="S337" s="326"/>
      <c r="T337" s="326"/>
      <c r="U337" s="326"/>
      <c r="V337" s="326"/>
      <c r="W337" s="326"/>
      <c r="X337" s="326"/>
      <c r="Y337" s="326"/>
      <c r="Z337" s="326"/>
      <c r="AA337" s="326"/>
      <c r="AB337" s="326"/>
      <c r="AC337" s="326"/>
      <c r="AD337" s="326"/>
      <c r="AE337" s="326"/>
      <c r="AF337" s="326"/>
      <c r="AG337" s="326"/>
      <c r="AH337" s="326"/>
      <c r="AJ337" s="508"/>
      <c r="AK337" s="307"/>
      <c r="AL337" s="307"/>
      <c r="AM337" s="307"/>
      <c r="AN337" s="307"/>
      <c r="AO337" s="307"/>
      <c r="AP337" s="307"/>
      <c r="AQ337" s="307"/>
      <c r="AR337" s="307"/>
      <c r="AS337" s="307"/>
      <c r="AT337" s="307"/>
      <c r="AU337" s="307"/>
      <c r="AV337" s="307"/>
      <c r="AW337" s="307"/>
      <c r="AX337" s="307"/>
      <c r="AY337" s="307"/>
    </row>
    <row r="338" spans="1:51" s="308" customFormat="1" ht="14.25" customHeight="1" x14ac:dyDescent="0.25">
      <c r="A338" s="1454" t="s">
        <v>219</v>
      </c>
      <c r="B338" s="1454"/>
      <c r="C338" s="1454"/>
      <c r="D338" s="1454"/>
      <c r="E338" s="1454"/>
      <c r="F338" s="1454"/>
      <c r="G338" s="1454"/>
      <c r="H338" s="1454"/>
      <c r="I338" s="1454"/>
      <c r="J338" s="1454"/>
      <c r="K338" s="1454"/>
      <c r="L338" s="1454"/>
      <c r="M338" s="1454"/>
      <c r="N338" s="1454"/>
      <c r="O338" s="1454"/>
      <c r="P338" s="1454"/>
      <c r="Q338" s="1454"/>
      <c r="R338" s="1454"/>
      <c r="S338" s="1454"/>
      <c r="T338" s="1454"/>
      <c r="U338" s="1454"/>
      <c r="V338" s="1454"/>
      <c r="W338" s="1454"/>
      <c r="X338" s="1454"/>
      <c r="Y338" s="1454"/>
      <c r="Z338" s="1454"/>
      <c r="AA338" s="1454"/>
      <c r="AB338" s="1454"/>
      <c r="AC338" s="1454"/>
      <c r="AD338" s="1454"/>
      <c r="AE338" s="1454"/>
      <c r="AF338" s="1454"/>
      <c r="AG338" s="1454"/>
      <c r="AH338" s="1454"/>
      <c r="AJ338" s="512"/>
    </row>
    <row r="339" spans="1:51" s="308" customFormat="1" ht="11.25" customHeight="1" x14ac:dyDescent="0.25">
      <c r="A339" s="326"/>
      <c r="B339" s="326"/>
      <c r="C339" s="326"/>
      <c r="D339" s="326"/>
      <c r="E339" s="326"/>
      <c r="F339" s="326"/>
      <c r="G339" s="326"/>
      <c r="H339" s="326"/>
      <c r="I339" s="326"/>
      <c r="J339" s="326"/>
      <c r="K339" s="326"/>
      <c r="L339" s="326"/>
      <c r="M339" s="326"/>
      <c r="N339" s="326"/>
      <c r="O339" s="326"/>
      <c r="P339" s="326"/>
      <c r="Q339" s="326"/>
      <c r="R339" s="326"/>
      <c r="S339" s="326"/>
      <c r="T339" s="326"/>
      <c r="U339" s="326"/>
      <c r="V339" s="326"/>
      <c r="W339" s="326"/>
      <c r="X339" s="326"/>
      <c r="Y339" s="326"/>
      <c r="Z339" s="326"/>
      <c r="AA339" s="326"/>
      <c r="AB339" s="326"/>
      <c r="AC339" s="326"/>
      <c r="AD339" s="326"/>
      <c r="AE339" s="326"/>
      <c r="AF339" s="326"/>
      <c r="AG339" s="326"/>
      <c r="AH339" s="326"/>
      <c r="AJ339" s="508"/>
      <c r="AK339" s="307"/>
      <c r="AL339" s="307"/>
      <c r="AM339" s="307"/>
      <c r="AN339" s="307"/>
      <c r="AO339" s="307"/>
      <c r="AP339" s="307"/>
      <c r="AQ339" s="307"/>
      <c r="AR339" s="307"/>
      <c r="AS339" s="307"/>
      <c r="AT339" s="307"/>
      <c r="AU339" s="307"/>
      <c r="AV339" s="307"/>
      <c r="AW339" s="307"/>
      <c r="AX339" s="307"/>
      <c r="AY339" s="307"/>
    </row>
    <row r="340" spans="1:51" s="305" customFormat="1" ht="14.25" customHeight="1" x14ac:dyDescent="0.25">
      <c r="A340" s="327"/>
      <c r="B340" s="327"/>
      <c r="C340" s="327"/>
      <c r="D340" s="327"/>
      <c r="E340" s="327"/>
      <c r="F340" s="327"/>
      <c r="G340" s="327"/>
      <c r="H340" s="327"/>
      <c r="I340" s="327"/>
      <c r="J340" s="327"/>
      <c r="K340" s="327"/>
      <c r="L340" s="327"/>
      <c r="M340" s="327"/>
      <c r="N340" s="327"/>
      <c r="O340" s="327"/>
      <c r="P340" s="327"/>
      <c r="Q340" s="327"/>
      <c r="R340" s="327"/>
      <c r="S340" s="327"/>
      <c r="T340" s="327"/>
      <c r="U340" s="327"/>
      <c r="V340" s="1471" t="s">
        <v>220</v>
      </c>
      <c r="W340" s="1471"/>
      <c r="X340" s="327"/>
      <c r="Y340" s="327"/>
      <c r="Z340" s="327"/>
      <c r="AA340" s="327"/>
      <c r="AB340" s="327"/>
      <c r="AC340" s="327"/>
      <c r="AD340" s="327"/>
      <c r="AE340" s="327"/>
      <c r="AF340" s="327"/>
      <c r="AG340" s="327"/>
      <c r="AH340" s="327"/>
      <c r="AJ340" s="651"/>
    </row>
    <row r="341" spans="1:51" s="305" customFormat="1" ht="12" customHeight="1" x14ac:dyDescent="0.25">
      <c r="A341" s="327"/>
      <c r="B341" s="327"/>
      <c r="C341" s="327"/>
      <c r="D341" s="327"/>
      <c r="E341" s="327"/>
      <c r="F341" s="327"/>
      <c r="G341" s="327"/>
      <c r="H341" s="327"/>
      <c r="I341" s="327"/>
      <c r="J341" s="327"/>
      <c r="K341" s="327"/>
      <c r="L341" s="327"/>
      <c r="M341" s="327"/>
      <c r="N341" s="327"/>
      <c r="O341" s="327"/>
      <c r="P341" s="327"/>
      <c r="Q341" s="327"/>
      <c r="R341" s="327"/>
      <c r="S341" s="327"/>
      <c r="T341" s="327"/>
      <c r="U341" s="327"/>
      <c r="V341" s="1471"/>
      <c r="W341" s="1471"/>
      <c r="X341" s="327"/>
      <c r="Y341" s="327"/>
      <c r="Z341" s="327"/>
      <c r="AA341" s="327"/>
      <c r="AB341" s="327"/>
      <c r="AC341" s="327"/>
      <c r="AD341" s="327"/>
      <c r="AE341" s="327"/>
      <c r="AF341" s="327"/>
      <c r="AG341" s="327"/>
      <c r="AH341" s="327"/>
      <c r="AJ341" s="651"/>
    </row>
    <row r="342" spans="1:51" s="305" customFormat="1" ht="14.25" customHeight="1" x14ac:dyDescent="0.25">
      <c r="A342" s="327"/>
      <c r="B342" s="327"/>
      <c r="C342" s="327"/>
      <c r="D342" s="327"/>
      <c r="E342" s="327"/>
      <c r="F342" s="327"/>
      <c r="G342" s="327"/>
      <c r="H342" s="327"/>
      <c r="I342" s="327"/>
      <c r="J342" s="327"/>
      <c r="K342" s="327"/>
      <c r="L342" s="327"/>
      <c r="M342" s="327"/>
      <c r="N342" s="327"/>
      <c r="O342" s="327"/>
      <c r="P342" s="327"/>
      <c r="Q342" s="327"/>
      <c r="R342" s="327"/>
      <c r="S342" s="327"/>
      <c r="T342" s="327"/>
      <c r="U342" s="327"/>
      <c r="V342" s="1471" t="s">
        <v>221</v>
      </c>
      <c r="W342" s="1471"/>
      <c r="X342" s="327"/>
      <c r="Y342" s="327"/>
      <c r="Z342" s="327"/>
      <c r="AA342" s="327"/>
      <c r="AB342" s="327"/>
      <c r="AC342" s="327"/>
      <c r="AD342" s="327"/>
      <c r="AE342" s="327"/>
      <c r="AF342" s="327"/>
      <c r="AG342" s="327"/>
      <c r="AH342" s="327"/>
      <c r="AJ342" s="651"/>
    </row>
    <row r="343" spans="1:51" s="305" customFormat="1" ht="12" customHeight="1" x14ac:dyDescent="0.25">
      <c r="A343" s="327"/>
      <c r="B343" s="327"/>
      <c r="C343" s="327"/>
      <c r="D343" s="327"/>
      <c r="E343" s="327"/>
      <c r="F343" s="327"/>
      <c r="G343" s="327"/>
      <c r="H343" s="327"/>
      <c r="I343" s="327"/>
      <c r="J343" s="327"/>
      <c r="K343" s="327"/>
      <c r="L343" s="327"/>
      <c r="M343" s="327"/>
      <c r="N343" s="327"/>
      <c r="O343" s="327"/>
      <c r="P343" s="327"/>
      <c r="Q343" s="327"/>
      <c r="R343" s="327"/>
      <c r="S343" s="327"/>
      <c r="T343" s="327"/>
      <c r="U343" s="327"/>
      <c r="V343" s="1471"/>
      <c r="W343" s="1471"/>
      <c r="X343" s="327"/>
      <c r="Y343" s="327"/>
      <c r="Z343" s="327"/>
      <c r="AA343" s="327"/>
      <c r="AB343" s="327"/>
      <c r="AC343" s="327"/>
      <c r="AD343" s="327"/>
      <c r="AE343" s="327"/>
      <c r="AF343" s="327"/>
      <c r="AG343" s="327"/>
      <c r="AH343" s="327"/>
      <c r="AJ343" s="651"/>
    </row>
    <row r="344" spans="1:51" s="305" customFormat="1" ht="16.5" customHeight="1" x14ac:dyDescent="0.25">
      <c r="A344" s="327"/>
      <c r="B344" s="327"/>
      <c r="C344" s="327"/>
      <c r="D344" s="327"/>
      <c r="E344" s="327"/>
      <c r="F344" s="327"/>
      <c r="G344" s="327"/>
      <c r="H344" s="327"/>
      <c r="I344" s="327"/>
      <c r="J344" s="327"/>
      <c r="K344" s="327"/>
      <c r="L344" s="327"/>
      <c r="M344" s="327"/>
      <c r="N344" s="327"/>
      <c r="O344" s="327"/>
      <c r="P344" s="327"/>
      <c r="Q344" s="327"/>
      <c r="R344" s="327"/>
      <c r="S344" s="327"/>
      <c r="T344" s="327"/>
      <c r="U344" s="327"/>
      <c r="V344" s="1471" t="s">
        <v>222</v>
      </c>
      <c r="W344" s="1471"/>
      <c r="X344" s="327"/>
      <c r="Y344" s="327"/>
      <c r="Z344" s="327"/>
      <c r="AA344" s="327"/>
      <c r="AB344" s="327"/>
      <c r="AC344" s="327"/>
      <c r="AD344" s="327"/>
      <c r="AE344" s="327"/>
      <c r="AF344" s="327"/>
      <c r="AG344" s="327"/>
      <c r="AH344" s="327"/>
      <c r="AJ344" s="651"/>
    </row>
    <row r="345" spans="1:51" s="305" customFormat="1" ht="12" customHeight="1" x14ac:dyDescent="0.25">
      <c r="A345" s="327"/>
      <c r="B345" s="327"/>
      <c r="C345" s="327"/>
      <c r="D345" s="327"/>
      <c r="E345" s="327"/>
      <c r="F345" s="327"/>
      <c r="G345" s="327"/>
      <c r="H345" s="327"/>
      <c r="I345" s="327"/>
      <c r="J345" s="327"/>
      <c r="K345" s="327"/>
      <c r="L345" s="327"/>
      <c r="M345" s="327"/>
      <c r="N345" s="327"/>
      <c r="O345" s="327"/>
      <c r="P345" s="327"/>
      <c r="Q345" s="327"/>
      <c r="R345" s="327"/>
      <c r="S345" s="327"/>
      <c r="T345" s="327"/>
      <c r="U345" s="327"/>
      <c r="V345" s="327"/>
      <c r="W345" s="327"/>
      <c r="X345" s="327"/>
      <c r="Y345" s="327"/>
      <c r="Z345" s="327"/>
      <c r="AA345" s="327"/>
      <c r="AB345" s="327"/>
      <c r="AC345" s="327"/>
      <c r="AD345" s="327"/>
      <c r="AE345" s="327"/>
      <c r="AF345" s="327"/>
      <c r="AG345" s="327"/>
      <c r="AH345" s="327"/>
      <c r="AJ345" s="651"/>
    </row>
    <row r="346" spans="1:51" s="305" customFormat="1" ht="12" customHeight="1" x14ac:dyDescent="0.25">
      <c r="A346" s="327"/>
      <c r="B346" s="327"/>
      <c r="C346" s="327"/>
      <c r="D346" s="327"/>
      <c r="E346" s="327"/>
      <c r="F346" s="327"/>
      <c r="G346" s="327"/>
      <c r="H346" s="327"/>
      <c r="I346" s="327"/>
      <c r="J346" s="327"/>
      <c r="K346" s="327"/>
      <c r="L346" s="327"/>
      <c r="M346" s="327"/>
      <c r="N346" s="327"/>
      <c r="O346" s="327"/>
      <c r="P346" s="327"/>
      <c r="Q346" s="327"/>
      <c r="R346" s="327"/>
      <c r="S346" s="327"/>
      <c r="T346" s="327"/>
      <c r="U346" s="327"/>
      <c r="V346" s="1471" t="s">
        <v>223</v>
      </c>
      <c r="W346" s="1471"/>
      <c r="X346" s="327"/>
      <c r="Y346" s="327"/>
      <c r="Z346" s="327"/>
      <c r="AA346" s="327"/>
      <c r="AB346" s="327"/>
      <c r="AC346" s="327"/>
      <c r="AD346" s="327"/>
      <c r="AE346" s="327"/>
      <c r="AF346" s="327"/>
      <c r="AG346" s="327"/>
      <c r="AH346" s="327"/>
      <c r="AJ346" s="651"/>
    </row>
    <row r="347" spans="1:51" s="305" customFormat="1" ht="12" customHeight="1" x14ac:dyDescent="0.25">
      <c r="A347" s="327"/>
      <c r="B347" s="327"/>
      <c r="C347" s="327"/>
      <c r="D347" s="327"/>
      <c r="E347" s="327"/>
      <c r="F347" s="327"/>
      <c r="G347" s="327"/>
      <c r="H347" s="327"/>
      <c r="I347" s="327"/>
      <c r="J347" s="327"/>
      <c r="K347" s="327"/>
      <c r="L347" s="327"/>
      <c r="M347" s="327"/>
      <c r="N347" s="327"/>
      <c r="O347" s="327"/>
      <c r="P347" s="327"/>
      <c r="Q347" s="327"/>
      <c r="R347" s="327"/>
      <c r="S347" s="327"/>
      <c r="T347" s="327"/>
      <c r="U347" s="327"/>
      <c r="V347" s="327"/>
      <c r="W347" s="327"/>
      <c r="X347" s="327"/>
      <c r="Y347" s="327"/>
      <c r="Z347" s="327"/>
      <c r="AA347" s="327"/>
      <c r="AB347" s="327"/>
      <c r="AC347" s="327"/>
      <c r="AD347" s="327"/>
      <c r="AE347" s="327"/>
      <c r="AF347" s="327"/>
      <c r="AG347" s="327"/>
      <c r="AH347" s="327"/>
      <c r="AJ347" s="651"/>
    </row>
    <row r="348" spans="1:51" s="305" customFormat="1" ht="21.75" customHeight="1" x14ac:dyDescent="0.25">
      <c r="A348" s="327"/>
      <c r="B348" s="327"/>
      <c r="C348" s="327"/>
      <c r="D348" s="327"/>
      <c r="E348" s="327"/>
      <c r="F348" s="327"/>
      <c r="G348" s="327"/>
      <c r="H348" s="327"/>
      <c r="I348" s="327"/>
      <c r="J348" s="327"/>
      <c r="K348" s="327"/>
      <c r="L348" s="327"/>
      <c r="M348" s="327"/>
      <c r="N348" s="327"/>
      <c r="O348" s="327"/>
      <c r="P348" s="327"/>
      <c r="Q348" s="327"/>
      <c r="R348" s="327"/>
      <c r="S348" s="327"/>
      <c r="T348" s="327"/>
      <c r="U348" s="327"/>
      <c r="V348" s="1471" t="s">
        <v>224</v>
      </c>
      <c r="W348" s="1471"/>
      <c r="X348" s="327"/>
      <c r="Y348" s="327"/>
      <c r="Z348" s="327"/>
      <c r="AA348" s="327"/>
      <c r="AB348" s="327"/>
      <c r="AC348" s="327"/>
      <c r="AD348" s="327"/>
      <c r="AE348" s="327"/>
      <c r="AF348" s="327"/>
      <c r="AG348" s="327"/>
      <c r="AH348" s="327"/>
      <c r="AJ348" s="651"/>
    </row>
    <row r="349" spans="1:51" s="308" customFormat="1" ht="11.25" customHeight="1" x14ac:dyDescent="0.25">
      <c r="A349" s="326"/>
      <c r="B349" s="326"/>
      <c r="C349" s="326"/>
      <c r="D349" s="326"/>
      <c r="E349" s="326"/>
      <c r="F349" s="326"/>
      <c r="G349" s="326"/>
      <c r="H349" s="326"/>
      <c r="I349" s="326"/>
      <c r="J349" s="326"/>
      <c r="K349" s="326"/>
      <c r="L349" s="326"/>
      <c r="M349" s="326"/>
      <c r="N349" s="326"/>
      <c r="O349" s="326"/>
      <c r="P349" s="326"/>
      <c r="Q349" s="326"/>
      <c r="R349" s="326"/>
      <c r="S349" s="326"/>
      <c r="T349" s="326"/>
      <c r="U349" s="326"/>
      <c r="V349" s="326"/>
      <c r="W349" s="326"/>
      <c r="X349" s="326"/>
      <c r="Y349" s="326"/>
      <c r="Z349" s="326"/>
      <c r="AA349" s="326"/>
      <c r="AB349" s="326"/>
      <c r="AC349" s="326"/>
      <c r="AD349" s="326"/>
      <c r="AE349" s="326"/>
      <c r="AF349" s="326"/>
      <c r="AG349" s="326"/>
      <c r="AH349" s="326"/>
      <c r="AJ349" s="508"/>
      <c r="AK349" s="307"/>
      <c r="AL349" s="307"/>
      <c r="AM349" s="307"/>
      <c r="AN349" s="307"/>
      <c r="AO349" s="307"/>
      <c r="AP349" s="307"/>
      <c r="AQ349" s="307"/>
      <c r="AR349" s="307"/>
      <c r="AS349" s="307"/>
      <c r="AT349" s="307"/>
      <c r="AU349" s="307"/>
      <c r="AV349" s="307"/>
      <c r="AW349" s="307"/>
      <c r="AX349" s="307"/>
      <c r="AY349" s="307"/>
    </row>
    <row r="350" spans="1:51" s="308" customFormat="1" ht="14.25" customHeight="1" x14ac:dyDescent="0.25">
      <c r="A350" s="1454" t="s">
        <v>225</v>
      </c>
      <c r="B350" s="1454"/>
      <c r="C350" s="1454"/>
      <c r="D350" s="1454"/>
      <c r="E350" s="1454"/>
      <c r="F350" s="1454"/>
      <c r="G350" s="1454"/>
      <c r="H350" s="1454"/>
      <c r="I350" s="1454"/>
      <c r="J350" s="1454"/>
      <c r="K350" s="1454"/>
      <c r="L350" s="1454"/>
      <c r="M350" s="1454"/>
      <c r="N350" s="1454"/>
      <c r="O350" s="1454"/>
      <c r="P350" s="1454"/>
      <c r="Q350" s="1454"/>
      <c r="R350" s="1454"/>
      <c r="S350" s="1454"/>
      <c r="T350" s="1454"/>
      <c r="U350" s="1454"/>
      <c r="V350" s="1454"/>
      <c r="W350" s="1454"/>
      <c r="X350" s="1454"/>
      <c r="Y350" s="1454"/>
      <c r="Z350" s="1454"/>
      <c r="AA350" s="1454"/>
      <c r="AB350" s="1454"/>
      <c r="AC350" s="1454"/>
      <c r="AD350" s="1454"/>
      <c r="AE350" s="1454"/>
      <c r="AF350" s="1454"/>
      <c r="AG350" s="1454"/>
      <c r="AH350" s="1454"/>
      <c r="AJ350" s="512"/>
    </row>
    <row r="351" spans="1:51" s="308" customFormat="1" ht="11.25" customHeight="1" x14ac:dyDescent="0.25">
      <c r="A351" s="326"/>
      <c r="B351" s="326"/>
      <c r="C351" s="326"/>
      <c r="D351" s="326"/>
      <c r="E351" s="326"/>
      <c r="F351" s="326"/>
      <c r="G351" s="326"/>
      <c r="H351" s="326"/>
      <c r="I351" s="326"/>
      <c r="J351" s="326"/>
      <c r="K351" s="326"/>
      <c r="L351" s="326"/>
      <c r="M351" s="326"/>
      <c r="N351" s="326"/>
      <c r="O351" s="326"/>
      <c r="P351" s="326"/>
      <c r="Q351" s="326"/>
      <c r="R351" s="326"/>
      <c r="S351" s="326"/>
      <c r="T351" s="326"/>
      <c r="U351" s="326"/>
      <c r="V351" s="326"/>
      <c r="W351" s="326"/>
      <c r="X351" s="326"/>
      <c r="Y351" s="326"/>
      <c r="Z351" s="326"/>
      <c r="AA351" s="326"/>
      <c r="AB351" s="326"/>
      <c r="AC351" s="326"/>
      <c r="AD351" s="326"/>
      <c r="AE351" s="326"/>
      <c r="AF351" s="326"/>
      <c r="AG351" s="326"/>
      <c r="AH351" s="326"/>
      <c r="AJ351" s="508"/>
      <c r="AK351" s="307"/>
      <c r="AL351" s="307"/>
      <c r="AM351" s="307"/>
      <c r="AN351" s="307"/>
      <c r="AO351" s="307"/>
      <c r="AP351" s="307"/>
      <c r="AQ351" s="307"/>
      <c r="AR351" s="307"/>
      <c r="AS351" s="307"/>
      <c r="AT351" s="307"/>
      <c r="AU351" s="307"/>
      <c r="AV351" s="307"/>
      <c r="AW351" s="307"/>
      <c r="AX351" s="307"/>
      <c r="AY351" s="307"/>
    </row>
    <row r="352" spans="1:51" s="305" customFormat="1" ht="37.5" customHeight="1" x14ac:dyDescent="0.25">
      <c r="A352" s="327"/>
      <c r="B352" s="327"/>
      <c r="C352" s="327"/>
      <c r="D352" s="327"/>
      <c r="E352" s="327"/>
      <c r="F352" s="327"/>
      <c r="G352" s="327"/>
      <c r="H352" s="327"/>
      <c r="I352" s="327"/>
      <c r="J352" s="327"/>
      <c r="K352" s="327"/>
      <c r="L352" s="327"/>
      <c r="M352" s="327"/>
      <c r="N352" s="327"/>
      <c r="O352" s="327"/>
      <c r="P352" s="327"/>
      <c r="Q352" s="327"/>
      <c r="R352" s="327"/>
      <c r="S352" s="327"/>
      <c r="T352" s="327"/>
      <c r="U352" s="327"/>
      <c r="V352" s="1471" t="s">
        <v>226</v>
      </c>
      <c r="W352" s="1471"/>
      <c r="X352" s="327"/>
      <c r="Y352" s="327"/>
      <c r="Z352" s="327"/>
      <c r="AA352" s="327"/>
      <c r="AB352" s="327"/>
      <c r="AC352" s="327"/>
      <c r="AD352" s="327"/>
      <c r="AE352" s="327"/>
      <c r="AF352" s="327"/>
      <c r="AG352" s="327"/>
      <c r="AH352" s="327"/>
      <c r="AJ352" s="651"/>
    </row>
    <row r="353" spans="1:51" s="308" customFormat="1" ht="11.25" customHeight="1" x14ac:dyDescent="0.25">
      <c r="A353" s="326"/>
      <c r="B353" s="326"/>
      <c r="C353" s="326"/>
      <c r="D353" s="326"/>
      <c r="E353" s="326"/>
      <c r="F353" s="326"/>
      <c r="G353" s="326"/>
      <c r="H353" s="326"/>
      <c r="I353" s="326"/>
      <c r="J353" s="326"/>
      <c r="K353" s="326"/>
      <c r="L353" s="326"/>
      <c r="M353" s="326"/>
      <c r="N353" s="326"/>
      <c r="O353" s="326"/>
      <c r="P353" s="326"/>
      <c r="Q353" s="326"/>
      <c r="R353" s="326"/>
      <c r="S353" s="326"/>
      <c r="T353" s="326"/>
      <c r="U353" s="326"/>
      <c r="V353" s="326"/>
      <c r="W353" s="326"/>
      <c r="X353" s="326"/>
      <c r="Y353" s="326"/>
      <c r="Z353" s="326"/>
      <c r="AA353" s="326"/>
      <c r="AB353" s="326"/>
      <c r="AC353" s="326"/>
      <c r="AD353" s="326"/>
      <c r="AE353" s="326"/>
      <c r="AF353" s="326"/>
      <c r="AG353" s="326"/>
      <c r="AH353" s="326"/>
      <c r="AJ353" s="508"/>
      <c r="AK353" s="307"/>
      <c r="AL353" s="307"/>
      <c r="AM353" s="307"/>
      <c r="AN353" s="307"/>
      <c r="AO353" s="307"/>
      <c r="AP353" s="307"/>
      <c r="AQ353" s="307"/>
      <c r="AR353" s="307"/>
      <c r="AS353" s="307"/>
      <c r="AT353" s="307"/>
      <c r="AU353" s="307"/>
      <c r="AV353" s="307"/>
      <c r="AW353" s="307"/>
      <c r="AX353" s="307"/>
      <c r="AY353" s="307"/>
    </row>
    <row r="354" spans="1:51" s="308" customFormat="1" ht="14.25" customHeight="1" x14ac:dyDescent="0.25">
      <c r="A354" s="1454" t="s">
        <v>227</v>
      </c>
      <c r="B354" s="1454"/>
      <c r="C354" s="1454"/>
      <c r="D354" s="1454"/>
      <c r="E354" s="1454"/>
      <c r="F354" s="1454"/>
      <c r="G354" s="1454"/>
      <c r="H354" s="1454"/>
      <c r="I354" s="1454"/>
      <c r="J354" s="1454"/>
      <c r="K354" s="1454"/>
      <c r="L354" s="1454"/>
      <c r="M354" s="1454"/>
      <c r="N354" s="1454"/>
      <c r="O354" s="1454"/>
      <c r="P354" s="1454"/>
      <c r="Q354" s="1454"/>
      <c r="R354" s="1454"/>
      <c r="S354" s="1454"/>
      <c r="T354" s="1454"/>
      <c r="U354" s="1454"/>
      <c r="V354" s="1454"/>
      <c r="W354" s="1454"/>
      <c r="X354" s="1454"/>
      <c r="Y354" s="1454"/>
      <c r="Z354" s="1454"/>
      <c r="AA354" s="1454"/>
      <c r="AB354" s="1454"/>
      <c r="AC354" s="1454"/>
      <c r="AD354" s="1454"/>
      <c r="AE354" s="1454"/>
      <c r="AF354" s="1454"/>
      <c r="AG354" s="1454"/>
      <c r="AH354" s="1454"/>
      <c r="AJ354" s="512"/>
    </row>
    <row r="355" spans="1:51" s="308" customFormat="1" ht="11.25" customHeight="1" x14ac:dyDescent="0.25">
      <c r="A355" s="326"/>
      <c r="B355" s="326"/>
      <c r="C355" s="326"/>
      <c r="D355" s="326"/>
      <c r="E355" s="326"/>
      <c r="F355" s="326"/>
      <c r="G355" s="326"/>
      <c r="H355" s="326"/>
      <c r="I355" s="326"/>
      <c r="J355" s="326"/>
      <c r="K355" s="326"/>
      <c r="L355" s="326"/>
      <c r="M355" s="326"/>
      <c r="N355" s="326"/>
      <c r="O355" s="326"/>
      <c r="P355" s="326"/>
      <c r="Q355" s="326"/>
      <c r="R355" s="326"/>
      <c r="S355" s="326"/>
      <c r="T355" s="326"/>
      <c r="U355" s="326"/>
      <c r="V355" s="326"/>
      <c r="W355" s="326"/>
      <c r="X355" s="326"/>
      <c r="Y355" s="326"/>
      <c r="Z355" s="326"/>
      <c r="AA355" s="326"/>
      <c r="AB355" s="326"/>
      <c r="AC355" s="326"/>
      <c r="AD355" s="326"/>
      <c r="AE355" s="326"/>
      <c r="AF355" s="326"/>
      <c r="AG355" s="326"/>
      <c r="AH355" s="326"/>
      <c r="AJ355" s="508"/>
      <c r="AK355" s="307"/>
      <c r="AL355" s="307"/>
      <c r="AM355" s="307"/>
      <c r="AN355" s="307"/>
      <c r="AO355" s="307"/>
      <c r="AP355" s="307"/>
      <c r="AQ355" s="307"/>
      <c r="AR355" s="307"/>
      <c r="AS355" s="307"/>
      <c r="AT355" s="307"/>
      <c r="AU355" s="307"/>
      <c r="AV355" s="307"/>
      <c r="AW355" s="307"/>
      <c r="AX355" s="307"/>
      <c r="AY355" s="307"/>
    </row>
    <row r="356" spans="1:51" s="305" customFormat="1" ht="36.75" customHeight="1" x14ac:dyDescent="0.25">
      <c r="A356" s="327"/>
      <c r="B356" s="327"/>
      <c r="C356" s="327"/>
      <c r="D356" s="327"/>
      <c r="E356" s="327"/>
      <c r="F356" s="327"/>
      <c r="G356" s="327"/>
      <c r="H356" s="327"/>
      <c r="I356" s="327"/>
      <c r="J356" s="327"/>
      <c r="K356" s="327"/>
      <c r="L356" s="327"/>
      <c r="M356" s="327"/>
      <c r="N356" s="327"/>
      <c r="O356" s="327"/>
      <c r="P356" s="327"/>
      <c r="Q356" s="327"/>
      <c r="R356" s="327"/>
      <c r="S356" s="327"/>
      <c r="T356" s="327"/>
      <c r="U356" s="327"/>
      <c r="V356" s="1471" t="s">
        <v>228</v>
      </c>
      <c r="W356" s="1471"/>
      <c r="X356" s="327"/>
      <c r="Y356" s="327"/>
      <c r="Z356" s="327"/>
      <c r="AA356" s="327"/>
      <c r="AB356" s="327"/>
      <c r="AC356" s="327"/>
      <c r="AD356" s="327"/>
      <c r="AE356" s="327"/>
      <c r="AF356" s="327"/>
      <c r="AG356" s="327"/>
      <c r="AH356" s="327"/>
      <c r="AJ356" s="651"/>
    </row>
    <row r="357" spans="1:51" s="308" customFormat="1" ht="11.25" customHeight="1" x14ac:dyDescent="0.25">
      <c r="A357" s="326"/>
      <c r="B357" s="326"/>
      <c r="C357" s="326"/>
      <c r="D357" s="326"/>
      <c r="E357" s="326"/>
      <c r="F357" s="326"/>
      <c r="G357" s="326"/>
      <c r="H357" s="326"/>
      <c r="I357" s="326"/>
      <c r="J357" s="326"/>
      <c r="K357" s="326"/>
      <c r="L357" s="326"/>
      <c r="M357" s="326"/>
      <c r="N357" s="326"/>
      <c r="O357" s="326"/>
      <c r="P357" s="326"/>
      <c r="Q357" s="326"/>
      <c r="R357" s="326"/>
      <c r="S357" s="326"/>
      <c r="T357" s="326"/>
      <c r="U357" s="326"/>
      <c r="V357" s="326"/>
      <c r="W357" s="326"/>
      <c r="X357" s="326"/>
      <c r="Y357" s="326"/>
      <c r="Z357" s="326"/>
      <c r="AA357" s="326"/>
      <c r="AB357" s="326"/>
      <c r="AC357" s="326"/>
      <c r="AD357" s="326"/>
      <c r="AE357" s="326"/>
      <c r="AF357" s="326"/>
      <c r="AG357" s="326"/>
      <c r="AH357" s="326"/>
      <c r="AJ357" s="508"/>
      <c r="AK357" s="307"/>
      <c r="AL357" s="307"/>
      <c r="AM357" s="307"/>
      <c r="AN357" s="307"/>
      <c r="AO357" s="307"/>
      <c r="AP357" s="307"/>
      <c r="AQ357" s="307"/>
      <c r="AR357" s="307"/>
      <c r="AS357" s="307"/>
      <c r="AT357" s="307"/>
      <c r="AU357" s="307"/>
      <c r="AV357" s="307"/>
      <c r="AW357" s="307"/>
      <c r="AX357" s="307"/>
      <c r="AY357" s="307"/>
    </row>
    <row r="358" spans="1:51" s="308" customFormat="1" ht="27.75" customHeight="1" x14ac:dyDescent="0.25">
      <c r="A358" s="1454" t="s">
        <v>229</v>
      </c>
      <c r="B358" s="1454"/>
      <c r="C358" s="1454"/>
      <c r="D358" s="1454"/>
      <c r="E358" s="1454"/>
      <c r="F358" s="1454"/>
      <c r="G358" s="1454"/>
      <c r="H358" s="1454"/>
      <c r="I358" s="1454"/>
      <c r="J358" s="1454"/>
      <c r="K358" s="1454"/>
      <c r="L358" s="1454"/>
      <c r="M358" s="1454"/>
      <c r="N358" s="1454"/>
      <c r="O358" s="1454"/>
      <c r="P358" s="1454"/>
      <c r="Q358" s="1454"/>
      <c r="R358" s="1454"/>
      <c r="S358" s="1454"/>
      <c r="T358" s="1454"/>
      <c r="U358" s="1454"/>
      <c r="V358" s="1454"/>
      <c r="W358" s="1454"/>
      <c r="X358" s="1454"/>
      <c r="Y358" s="1454"/>
      <c r="Z358" s="1454"/>
      <c r="AA358" s="1454"/>
      <c r="AB358" s="1454"/>
      <c r="AC358" s="1454"/>
      <c r="AD358" s="1454"/>
      <c r="AE358" s="1454"/>
      <c r="AF358" s="1454"/>
      <c r="AG358" s="1454"/>
      <c r="AH358" s="1454"/>
      <c r="AJ358" s="512"/>
    </row>
    <row r="359" spans="1:51" s="308" customFormat="1" ht="11.25" customHeight="1" x14ac:dyDescent="0.25">
      <c r="A359" s="326"/>
      <c r="B359" s="326"/>
      <c r="C359" s="326"/>
      <c r="D359" s="326"/>
      <c r="E359" s="326"/>
      <c r="F359" s="326"/>
      <c r="G359" s="326"/>
      <c r="H359" s="326"/>
      <c r="I359" s="326"/>
      <c r="J359" s="326"/>
      <c r="K359" s="326"/>
      <c r="L359" s="326"/>
      <c r="M359" s="326"/>
      <c r="N359" s="326"/>
      <c r="O359" s="326"/>
      <c r="P359" s="326"/>
      <c r="Q359" s="326"/>
      <c r="R359" s="326"/>
      <c r="S359" s="326"/>
      <c r="T359" s="326"/>
      <c r="U359" s="326"/>
      <c r="V359" s="326"/>
      <c r="W359" s="326"/>
      <c r="X359" s="326"/>
      <c r="Y359" s="326"/>
      <c r="Z359" s="326"/>
      <c r="AA359" s="326"/>
      <c r="AB359" s="326"/>
      <c r="AC359" s="326"/>
      <c r="AD359" s="326"/>
      <c r="AE359" s="326"/>
      <c r="AF359" s="326"/>
      <c r="AG359" s="326"/>
      <c r="AH359" s="326"/>
      <c r="AJ359" s="508"/>
      <c r="AK359" s="307"/>
      <c r="AL359" s="307"/>
      <c r="AM359" s="307"/>
      <c r="AN359" s="307"/>
      <c r="AO359" s="307"/>
      <c r="AP359" s="307"/>
      <c r="AQ359" s="307"/>
      <c r="AR359" s="307"/>
      <c r="AS359" s="307"/>
      <c r="AT359" s="307"/>
      <c r="AU359" s="307"/>
      <c r="AV359" s="307"/>
      <c r="AW359" s="307"/>
      <c r="AX359" s="307"/>
      <c r="AY359" s="307"/>
    </row>
    <row r="360" spans="1:51" s="305" customFormat="1" ht="36.75" customHeight="1" x14ac:dyDescent="0.25">
      <c r="A360" s="327"/>
      <c r="B360" s="327"/>
      <c r="C360" s="327"/>
      <c r="D360" s="327"/>
      <c r="E360" s="327"/>
      <c r="F360" s="327"/>
      <c r="G360" s="327"/>
      <c r="H360" s="327"/>
      <c r="I360" s="327"/>
      <c r="J360" s="327"/>
      <c r="K360" s="327"/>
      <c r="L360" s="327"/>
      <c r="M360" s="327"/>
      <c r="N360" s="327"/>
      <c r="O360" s="327"/>
      <c r="P360" s="327"/>
      <c r="Q360" s="327"/>
      <c r="R360" s="327"/>
      <c r="S360" s="327"/>
      <c r="T360" s="327"/>
      <c r="U360" s="327"/>
      <c r="V360" s="1471" t="s">
        <v>230</v>
      </c>
      <c r="W360" s="1471"/>
      <c r="X360" s="327"/>
      <c r="Y360" s="327"/>
      <c r="Z360" s="327"/>
      <c r="AA360" s="327"/>
      <c r="AB360" s="327"/>
      <c r="AC360" s="327"/>
      <c r="AD360" s="327"/>
      <c r="AE360" s="327"/>
      <c r="AF360" s="327"/>
      <c r="AG360" s="327"/>
      <c r="AH360" s="327"/>
      <c r="AJ360" s="651"/>
    </row>
    <row r="361" spans="1:51" s="308" customFormat="1" ht="11.25" customHeight="1" x14ac:dyDescent="0.25">
      <c r="A361" s="326"/>
      <c r="B361" s="326"/>
      <c r="C361" s="326"/>
      <c r="D361" s="326"/>
      <c r="E361" s="326"/>
      <c r="F361" s="326"/>
      <c r="G361" s="326"/>
      <c r="H361" s="326"/>
      <c r="I361" s="326"/>
      <c r="J361" s="326"/>
      <c r="K361" s="326"/>
      <c r="L361" s="326"/>
      <c r="M361" s="326"/>
      <c r="N361" s="326"/>
      <c r="O361" s="326"/>
      <c r="P361" s="326"/>
      <c r="Q361" s="326"/>
      <c r="R361" s="326"/>
      <c r="S361" s="326"/>
      <c r="T361" s="326"/>
      <c r="U361" s="326"/>
      <c r="V361" s="326"/>
      <c r="W361" s="326"/>
      <c r="X361" s="326"/>
      <c r="Y361" s="326"/>
      <c r="Z361" s="326"/>
      <c r="AA361" s="326"/>
      <c r="AB361" s="326"/>
      <c r="AC361" s="326"/>
      <c r="AD361" s="326"/>
      <c r="AE361" s="326"/>
      <c r="AF361" s="326"/>
      <c r="AG361" s="326"/>
      <c r="AH361" s="326"/>
      <c r="AJ361" s="508"/>
      <c r="AK361" s="307"/>
      <c r="AL361" s="307"/>
      <c r="AM361" s="307"/>
      <c r="AN361" s="307"/>
      <c r="AO361" s="307"/>
      <c r="AP361" s="307"/>
      <c r="AQ361" s="307"/>
      <c r="AR361" s="307"/>
      <c r="AS361" s="307"/>
      <c r="AT361" s="307"/>
      <c r="AU361" s="307"/>
      <c r="AV361" s="307"/>
      <c r="AW361" s="307"/>
      <c r="AX361" s="307"/>
      <c r="AY361" s="307"/>
    </row>
    <row r="362" spans="1:51" s="308" customFormat="1" ht="27.75" customHeight="1" x14ac:dyDescent="0.25">
      <c r="A362" s="1454" t="s">
        <v>231</v>
      </c>
      <c r="B362" s="1454"/>
      <c r="C362" s="1454"/>
      <c r="D362" s="1454"/>
      <c r="E362" s="1454"/>
      <c r="F362" s="1454"/>
      <c r="G362" s="1454"/>
      <c r="H362" s="1454"/>
      <c r="I362" s="1454"/>
      <c r="J362" s="1454"/>
      <c r="K362" s="1454"/>
      <c r="L362" s="1454"/>
      <c r="M362" s="1454"/>
      <c r="N362" s="1454"/>
      <c r="O362" s="1454"/>
      <c r="P362" s="1454"/>
      <c r="Q362" s="1454"/>
      <c r="R362" s="1454"/>
      <c r="S362" s="1454"/>
      <c r="T362" s="1454"/>
      <c r="U362" s="1454"/>
      <c r="V362" s="1454"/>
      <c r="W362" s="1454"/>
      <c r="X362" s="1454"/>
      <c r="Y362" s="1454"/>
      <c r="Z362" s="1454"/>
      <c r="AA362" s="1454"/>
      <c r="AB362" s="1454"/>
      <c r="AC362" s="1454"/>
      <c r="AD362" s="1454"/>
      <c r="AE362" s="1454"/>
      <c r="AF362" s="1454"/>
      <c r="AG362" s="1454"/>
      <c r="AH362" s="1454"/>
      <c r="AJ362" s="512"/>
    </row>
    <row r="363" spans="1:51" s="308" customFormat="1" ht="11.25" customHeight="1" x14ac:dyDescent="0.25">
      <c r="A363" s="326"/>
      <c r="B363" s="326"/>
      <c r="C363" s="326"/>
      <c r="D363" s="326"/>
      <c r="E363" s="326"/>
      <c r="F363" s="326"/>
      <c r="G363" s="326"/>
      <c r="H363" s="326"/>
      <c r="I363" s="326"/>
      <c r="J363" s="326"/>
      <c r="K363" s="326"/>
      <c r="L363" s="326"/>
      <c r="M363" s="326"/>
      <c r="N363" s="326"/>
      <c r="O363" s="326"/>
      <c r="P363" s="326"/>
      <c r="Q363" s="326"/>
      <c r="R363" s="326"/>
      <c r="S363" s="326"/>
      <c r="T363" s="326"/>
      <c r="U363" s="326"/>
      <c r="V363" s="326"/>
      <c r="W363" s="326"/>
      <c r="X363" s="326"/>
      <c r="Y363" s="326"/>
      <c r="Z363" s="326"/>
      <c r="AA363" s="326"/>
      <c r="AB363" s="326"/>
      <c r="AC363" s="326"/>
      <c r="AD363" s="326"/>
      <c r="AE363" s="326"/>
      <c r="AF363" s="326"/>
      <c r="AG363" s="326"/>
      <c r="AH363" s="326"/>
      <c r="AJ363" s="508"/>
      <c r="AK363" s="307"/>
      <c r="AL363" s="307"/>
      <c r="AM363" s="307"/>
      <c r="AN363" s="307"/>
      <c r="AO363" s="307"/>
      <c r="AP363" s="307"/>
      <c r="AQ363" s="307"/>
      <c r="AR363" s="307"/>
      <c r="AS363" s="307"/>
      <c r="AT363" s="307"/>
      <c r="AU363" s="307"/>
      <c r="AV363" s="307"/>
      <c r="AW363" s="307"/>
      <c r="AX363" s="307"/>
      <c r="AY363" s="307"/>
    </row>
    <row r="364" spans="1:51" s="305" customFormat="1" ht="36.75" customHeight="1" x14ac:dyDescent="0.25">
      <c r="A364" s="327"/>
      <c r="B364" s="327"/>
      <c r="C364" s="327"/>
      <c r="D364" s="327"/>
      <c r="E364" s="327"/>
      <c r="F364" s="327"/>
      <c r="G364" s="327"/>
      <c r="H364" s="327"/>
      <c r="I364" s="327"/>
      <c r="J364" s="327"/>
      <c r="K364" s="327"/>
      <c r="L364" s="327"/>
      <c r="M364" s="327"/>
      <c r="N364" s="327"/>
      <c r="O364" s="327"/>
      <c r="P364" s="327"/>
      <c r="Q364" s="327"/>
      <c r="R364" s="327"/>
      <c r="S364" s="327"/>
      <c r="T364" s="327"/>
      <c r="U364" s="327"/>
      <c r="V364" s="1471" t="s">
        <v>232</v>
      </c>
      <c r="W364" s="1471"/>
      <c r="X364" s="327"/>
      <c r="Y364" s="327"/>
      <c r="Z364" s="327"/>
      <c r="AA364" s="327"/>
      <c r="AB364" s="327"/>
      <c r="AC364" s="327"/>
      <c r="AD364" s="327"/>
      <c r="AE364" s="327"/>
      <c r="AF364" s="327"/>
      <c r="AG364" s="327"/>
      <c r="AH364" s="327"/>
      <c r="AJ364" s="651"/>
    </row>
    <row r="365" spans="1:51" s="308" customFormat="1" ht="11.25" customHeight="1" x14ac:dyDescent="0.25">
      <c r="A365" s="326"/>
      <c r="B365" s="326"/>
      <c r="C365" s="326"/>
      <c r="D365" s="326"/>
      <c r="E365" s="326"/>
      <c r="F365" s="326"/>
      <c r="G365" s="326"/>
      <c r="H365" s="326"/>
      <c r="I365" s="326"/>
      <c r="J365" s="326"/>
      <c r="K365" s="326"/>
      <c r="L365" s="326"/>
      <c r="M365" s="326"/>
      <c r="N365" s="326"/>
      <c r="O365" s="326"/>
      <c r="P365" s="326"/>
      <c r="Q365" s="326"/>
      <c r="R365" s="326"/>
      <c r="S365" s="326"/>
      <c r="T365" s="326"/>
      <c r="U365" s="326"/>
      <c r="V365" s="326"/>
      <c r="W365" s="326"/>
      <c r="X365" s="326"/>
      <c r="Y365" s="326"/>
      <c r="Z365" s="326"/>
      <c r="AA365" s="326"/>
      <c r="AB365" s="326"/>
      <c r="AC365" s="326"/>
      <c r="AD365" s="326"/>
      <c r="AE365" s="326"/>
      <c r="AF365" s="326"/>
      <c r="AG365" s="326"/>
      <c r="AH365" s="326"/>
      <c r="AJ365" s="508"/>
      <c r="AK365" s="307"/>
      <c r="AL365" s="307"/>
      <c r="AM365" s="307"/>
      <c r="AN365" s="307"/>
      <c r="AO365" s="307"/>
      <c r="AP365" s="307"/>
      <c r="AQ365" s="307"/>
      <c r="AR365" s="307"/>
      <c r="AS365" s="307"/>
      <c r="AT365" s="307"/>
      <c r="AU365" s="307"/>
      <c r="AV365" s="307"/>
      <c r="AW365" s="307"/>
      <c r="AX365" s="307"/>
      <c r="AY365" s="307"/>
    </row>
    <row r="366" spans="1:51" s="308" customFormat="1" ht="14.25" customHeight="1" x14ac:dyDescent="0.25">
      <c r="A366" s="1454" t="s">
        <v>197</v>
      </c>
      <c r="B366" s="1454" t="s">
        <v>198</v>
      </c>
      <c r="C366" s="1454"/>
      <c r="D366" s="1454"/>
      <c r="E366" s="1454"/>
      <c r="F366" s="1454"/>
      <c r="G366" s="1454"/>
      <c r="H366" s="1454"/>
      <c r="I366" s="1454"/>
      <c r="J366" s="1454"/>
      <c r="K366" s="1454"/>
      <c r="L366" s="1454"/>
      <c r="M366" s="1454"/>
      <c r="N366" s="1454"/>
      <c r="O366" s="1454"/>
      <c r="P366" s="1454"/>
      <c r="Q366" s="1454"/>
      <c r="R366" s="1454"/>
      <c r="S366" s="1454"/>
      <c r="T366" s="1454"/>
      <c r="U366" s="1454"/>
      <c r="V366" s="1454"/>
      <c r="W366" s="1454"/>
      <c r="X366" s="1454"/>
      <c r="Y366" s="1454"/>
      <c r="Z366" s="1454"/>
      <c r="AA366" s="1454"/>
      <c r="AB366" s="1454"/>
      <c r="AC366" s="1454"/>
      <c r="AD366" s="1454"/>
      <c r="AE366" s="1454"/>
      <c r="AF366" s="1454"/>
      <c r="AG366" s="1454"/>
      <c r="AH366" s="1454"/>
      <c r="AJ366" s="512"/>
    </row>
    <row r="367" spans="1:51" s="308" customFormat="1" ht="11.25" customHeight="1" x14ac:dyDescent="0.25">
      <c r="A367" s="326"/>
      <c r="B367" s="326"/>
      <c r="C367" s="326"/>
      <c r="D367" s="326"/>
      <c r="E367" s="326"/>
      <c r="F367" s="326"/>
      <c r="G367" s="326"/>
      <c r="H367" s="326"/>
      <c r="I367" s="326"/>
      <c r="J367" s="326"/>
      <c r="K367" s="326"/>
      <c r="L367" s="326"/>
      <c r="M367" s="326"/>
      <c r="N367" s="326"/>
      <c r="O367" s="326"/>
      <c r="P367" s="326"/>
      <c r="Q367" s="326"/>
      <c r="R367" s="326"/>
      <c r="S367" s="326"/>
      <c r="T367" s="326"/>
      <c r="U367" s="326"/>
      <c r="V367" s="326"/>
      <c r="W367" s="326"/>
      <c r="X367" s="326"/>
      <c r="Y367" s="326"/>
      <c r="Z367" s="326"/>
      <c r="AA367" s="326"/>
      <c r="AB367" s="326"/>
      <c r="AC367" s="326"/>
      <c r="AD367" s="326"/>
      <c r="AE367" s="326"/>
      <c r="AF367" s="326"/>
      <c r="AG367" s="326"/>
      <c r="AH367" s="326"/>
      <c r="AJ367" s="508"/>
      <c r="AK367" s="307"/>
      <c r="AL367" s="307"/>
      <c r="AM367" s="307"/>
      <c r="AN367" s="307"/>
      <c r="AO367" s="307"/>
      <c r="AP367" s="307"/>
      <c r="AQ367" s="307"/>
      <c r="AR367" s="307"/>
      <c r="AS367" s="307"/>
      <c r="AT367" s="307"/>
      <c r="AU367" s="307"/>
      <c r="AV367" s="307"/>
      <c r="AW367" s="307"/>
      <c r="AX367" s="307"/>
      <c r="AY367" s="307"/>
    </row>
    <row r="368" spans="1:51" s="308" customFormat="1" ht="14.25" customHeight="1" x14ac:dyDescent="0.25">
      <c r="A368" s="1454" t="s">
        <v>233</v>
      </c>
      <c r="B368" s="1454"/>
      <c r="C368" s="1454"/>
      <c r="D368" s="1454"/>
      <c r="E368" s="1454"/>
      <c r="F368" s="1454"/>
      <c r="G368" s="1454"/>
      <c r="H368" s="1454"/>
      <c r="I368" s="1454"/>
      <c r="J368" s="1454"/>
      <c r="K368" s="1454"/>
      <c r="L368" s="1454"/>
      <c r="M368" s="1454"/>
      <c r="N368" s="1454"/>
      <c r="O368" s="1454"/>
      <c r="P368" s="1454"/>
      <c r="Q368" s="1454"/>
      <c r="R368" s="1454"/>
      <c r="S368" s="1454"/>
      <c r="T368" s="1454"/>
      <c r="U368" s="1454"/>
      <c r="V368" s="1454"/>
      <c r="W368" s="1454"/>
      <c r="X368" s="1454"/>
      <c r="Y368" s="1454"/>
      <c r="Z368" s="1454"/>
      <c r="AA368" s="1454"/>
      <c r="AB368" s="1454"/>
      <c r="AC368" s="1454"/>
      <c r="AD368" s="1454"/>
      <c r="AE368" s="1454"/>
      <c r="AF368" s="1454"/>
      <c r="AG368" s="1454"/>
      <c r="AH368" s="1454"/>
      <c r="AJ368" s="512"/>
    </row>
    <row r="369" spans="1:51" s="308" customFormat="1" ht="14.25" customHeight="1" x14ac:dyDescent="0.25">
      <c r="A369" s="1454" t="s">
        <v>234</v>
      </c>
      <c r="B369" s="1454"/>
      <c r="C369" s="1454"/>
      <c r="D369" s="1454"/>
      <c r="E369" s="1454"/>
      <c r="F369" s="1454"/>
      <c r="G369" s="1454"/>
      <c r="H369" s="1454"/>
      <c r="I369" s="1454"/>
      <c r="J369" s="1454"/>
      <c r="K369" s="1454"/>
      <c r="L369" s="1454"/>
      <c r="M369" s="1454"/>
      <c r="N369" s="1454"/>
      <c r="O369" s="1454"/>
      <c r="P369" s="1454"/>
      <c r="Q369" s="1454"/>
      <c r="R369" s="1454"/>
      <c r="S369" s="1454"/>
      <c r="T369" s="1454"/>
      <c r="U369" s="1454"/>
      <c r="V369" s="1454"/>
      <c r="W369" s="1454"/>
      <c r="X369" s="1454"/>
      <c r="Y369" s="1454"/>
      <c r="Z369" s="1454"/>
      <c r="AA369" s="1454"/>
      <c r="AB369" s="1454"/>
      <c r="AC369" s="1454"/>
      <c r="AD369" s="1454"/>
      <c r="AE369" s="1454"/>
      <c r="AF369" s="1454"/>
      <c r="AG369" s="1454"/>
      <c r="AH369" s="1454"/>
      <c r="AJ369" s="512"/>
    </row>
    <row r="370" spans="1:51" s="308" customFormat="1" ht="14.25" customHeight="1" x14ac:dyDescent="0.25">
      <c r="A370" s="1454" t="s">
        <v>235</v>
      </c>
      <c r="B370" s="1454"/>
      <c r="C370" s="1454"/>
      <c r="D370" s="1454"/>
      <c r="E370" s="1454"/>
      <c r="F370" s="1454"/>
      <c r="G370" s="1454"/>
      <c r="H370" s="1454"/>
      <c r="I370" s="1454"/>
      <c r="J370" s="1454"/>
      <c r="K370" s="1454"/>
      <c r="L370" s="1454"/>
      <c r="M370" s="1454"/>
      <c r="N370" s="1454"/>
      <c r="O370" s="1454"/>
      <c r="P370" s="1454"/>
      <c r="Q370" s="1454"/>
      <c r="R370" s="1454"/>
      <c r="S370" s="1454"/>
      <c r="T370" s="1454"/>
      <c r="U370" s="1454"/>
      <c r="V370" s="1454"/>
      <c r="W370" s="1454"/>
      <c r="X370" s="1454"/>
      <c r="Y370" s="1454"/>
      <c r="Z370" s="1454"/>
      <c r="AA370" s="1454"/>
      <c r="AB370" s="1454"/>
      <c r="AC370" s="1454"/>
      <c r="AD370" s="1454"/>
      <c r="AE370" s="1454"/>
      <c r="AF370" s="1454"/>
      <c r="AG370" s="1454"/>
      <c r="AH370" s="1454"/>
      <c r="AJ370" s="512"/>
    </row>
    <row r="371" spans="1:51" s="308" customFormat="1" ht="14.25" customHeight="1" x14ac:dyDescent="0.25">
      <c r="A371" s="1454" t="s">
        <v>236</v>
      </c>
      <c r="B371" s="1454"/>
      <c r="C371" s="1454"/>
      <c r="D371" s="1454"/>
      <c r="E371" s="1454"/>
      <c r="F371" s="1454"/>
      <c r="G371" s="1454"/>
      <c r="H371" s="1454"/>
      <c r="I371" s="1454"/>
      <c r="J371" s="1454"/>
      <c r="K371" s="1454"/>
      <c r="L371" s="1454"/>
      <c r="M371" s="1454"/>
      <c r="N371" s="1454"/>
      <c r="O371" s="1454"/>
      <c r="P371" s="1454"/>
      <c r="Q371" s="1454"/>
      <c r="R371" s="1454"/>
      <c r="S371" s="1454"/>
      <c r="T371" s="1454"/>
      <c r="U371" s="1454"/>
      <c r="V371" s="1454"/>
      <c r="W371" s="1454"/>
      <c r="X371" s="1454"/>
      <c r="Y371" s="1454"/>
      <c r="Z371" s="1454"/>
      <c r="AA371" s="1454"/>
      <c r="AB371" s="1454"/>
      <c r="AC371" s="1454"/>
      <c r="AD371" s="1454"/>
      <c r="AE371" s="1454"/>
      <c r="AF371" s="1454"/>
      <c r="AG371" s="1454"/>
      <c r="AH371" s="1454"/>
      <c r="AJ371" s="512"/>
    </row>
    <row r="372" spans="1:51" s="308" customFormat="1" ht="14.25" customHeight="1" x14ac:dyDescent="0.25">
      <c r="A372" s="1454" t="s">
        <v>237</v>
      </c>
      <c r="B372" s="1454"/>
      <c r="C372" s="1454"/>
      <c r="D372" s="1454"/>
      <c r="E372" s="1454"/>
      <c r="F372" s="1454"/>
      <c r="G372" s="1454"/>
      <c r="H372" s="1454"/>
      <c r="I372" s="1454"/>
      <c r="J372" s="1454"/>
      <c r="K372" s="1454"/>
      <c r="L372" s="1454"/>
      <c r="M372" s="1454"/>
      <c r="N372" s="1454"/>
      <c r="O372" s="1454"/>
      <c r="P372" s="1454"/>
      <c r="Q372" s="1454"/>
      <c r="R372" s="1454"/>
      <c r="S372" s="1454"/>
      <c r="T372" s="1454"/>
      <c r="U372" s="1454"/>
      <c r="V372" s="1454"/>
      <c r="W372" s="1454"/>
      <c r="X372" s="1454"/>
      <c r="Y372" s="1454"/>
      <c r="Z372" s="1454"/>
      <c r="AA372" s="1454"/>
      <c r="AB372" s="1454"/>
      <c r="AC372" s="1454"/>
      <c r="AD372" s="1454"/>
      <c r="AE372" s="1454"/>
      <c r="AF372" s="1454"/>
      <c r="AG372" s="1454"/>
      <c r="AH372" s="1454"/>
      <c r="AJ372" s="512"/>
    </row>
    <row r="373" spans="1:51" s="308" customFormat="1" ht="14.25" customHeight="1" x14ac:dyDescent="0.25">
      <c r="A373" s="1454" t="s">
        <v>238</v>
      </c>
      <c r="B373" s="1454"/>
      <c r="C373" s="1454"/>
      <c r="D373" s="1454"/>
      <c r="E373" s="1454"/>
      <c r="F373" s="1454"/>
      <c r="G373" s="1454"/>
      <c r="H373" s="1454"/>
      <c r="I373" s="1454"/>
      <c r="J373" s="1454"/>
      <c r="K373" s="1454"/>
      <c r="L373" s="1454"/>
      <c r="M373" s="1454"/>
      <c r="N373" s="1454"/>
      <c r="O373" s="1454"/>
      <c r="P373" s="1454"/>
      <c r="Q373" s="1454"/>
      <c r="R373" s="1454"/>
      <c r="S373" s="1454"/>
      <c r="T373" s="1454"/>
      <c r="U373" s="1454"/>
      <c r="V373" s="1454"/>
      <c r="W373" s="1454"/>
      <c r="X373" s="1454"/>
      <c r="Y373" s="1454"/>
      <c r="Z373" s="1454"/>
      <c r="AA373" s="1454"/>
      <c r="AB373" s="1454"/>
      <c r="AC373" s="1454"/>
      <c r="AD373" s="1454"/>
      <c r="AE373" s="1454"/>
      <c r="AF373" s="1454"/>
      <c r="AG373" s="1454"/>
      <c r="AH373" s="1454"/>
      <c r="AJ373" s="512"/>
    </row>
    <row r="374" spans="1:51" s="308" customFormat="1" ht="14.25" customHeight="1" x14ac:dyDescent="0.25">
      <c r="A374" s="1454" t="s">
        <v>239</v>
      </c>
      <c r="B374" s="1454"/>
      <c r="C374" s="1454"/>
      <c r="D374" s="1454"/>
      <c r="E374" s="1454"/>
      <c r="F374" s="1454"/>
      <c r="G374" s="1454"/>
      <c r="H374" s="1454"/>
      <c r="I374" s="1454"/>
      <c r="J374" s="1454"/>
      <c r="K374" s="1454"/>
      <c r="L374" s="1454"/>
      <c r="M374" s="1454"/>
      <c r="N374" s="1454"/>
      <c r="O374" s="1454"/>
      <c r="P374" s="1454"/>
      <c r="Q374" s="1454"/>
      <c r="R374" s="1454"/>
      <c r="S374" s="1454"/>
      <c r="T374" s="1454"/>
      <c r="U374" s="1454"/>
      <c r="V374" s="1454"/>
      <c r="W374" s="1454"/>
      <c r="X374" s="1454"/>
      <c r="Y374" s="1454"/>
      <c r="Z374" s="1454"/>
      <c r="AA374" s="1454"/>
      <c r="AB374" s="1454"/>
      <c r="AC374" s="1454"/>
      <c r="AD374" s="1454"/>
      <c r="AE374" s="1454"/>
      <c r="AF374" s="1454"/>
      <c r="AG374" s="1454"/>
      <c r="AH374" s="1454"/>
      <c r="AJ374" s="512"/>
    </row>
    <row r="375" spans="1:51" s="308" customFormat="1" ht="11.25" customHeight="1" x14ac:dyDescent="0.25">
      <c r="A375" s="326"/>
      <c r="B375" s="326"/>
      <c r="C375" s="326"/>
      <c r="D375" s="326"/>
      <c r="E375" s="326"/>
      <c r="F375" s="326"/>
      <c r="G375" s="326"/>
      <c r="H375" s="326"/>
      <c r="I375" s="326"/>
      <c r="J375" s="326"/>
      <c r="K375" s="326"/>
      <c r="L375" s="326"/>
      <c r="M375" s="326"/>
      <c r="N375" s="326"/>
      <c r="O375" s="326"/>
      <c r="P375" s="326"/>
      <c r="Q375" s="326"/>
      <c r="R375" s="326"/>
      <c r="S375" s="326"/>
      <c r="T375" s="326"/>
      <c r="U375" s="326"/>
      <c r="V375" s="326"/>
      <c r="W375" s="326"/>
      <c r="X375" s="326"/>
      <c r="Y375" s="326"/>
      <c r="Z375" s="326"/>
      <c r="AA375" s="326"/>
      <c r="AB375" s="326"/>
      <c r="AC375" s="326"/>
      <c r="AD375" s="326"/>
      <c r="AE375" s="326"/>
      <c r="AF375" s="326"/>
      <c r="AG375" s="326"/>
      <c r="AH375" s="326"/>
      <c r="AJ375" s="508"/>
      <c r="AK375" s="307"/>
      <c r="AL375" s="307"/>
      <c r="AM375" s="307"/>
      <c r="AN375" s="307"/>
      <c r="AO375" s="307"/>
      <c r="AP375" s="307"/>
      <c r="AQ375" s="307"/>
      <c r="AR375" s="307"/>
      <c r="AS375" s="307"/>
      <c r="AT375" s="307"/>
      <c r="AU375" s="307"/>
      <c r="AV375" s="307"/>
      <c r="AW375" s="307"/>
      <c r="AX375" s="307"/>
      <c r="AY375" s="307"/>
    </row>
    <row r="376" spans="1:51" ht="14.1" customHeight="1" x14ac:dyDescent="0.25">
      <c r="A376" s="1455" t="s">
        <v>240</v>
      </c>
      <c r="B376" s="1455"/>
      <c r="C376" s="1455"/>
      <c r="D376" s="1455"/>
      <c r="E376" s="1455"/>
      <c r="F376" s="1455"/>
      <c r="G376" s="1455"/>
      <c r="H376" s="1455"/>
      <c r="I376" s="1455"/>
      <c r="J376" s="1455"/>
      <c r="K376" s="1455"/>
      <c r="L376" s="1455"/>
      <c r="M376" s="1455"/>
      <c r="N376" s="1455"/>
      <c r="O376" s="1455"/>
      <c r="P376" s="1455"/>
      <c r="Q376" s="1455"/>
      <c r="R376" s="1455"/>
      <c r="S376" s="1455"/>
      <c r="T376" s="1455"/>
      <c r="U376" s="1455"/>
      <c r="V376" s="1455"/>
      <c r="W376" s="1455"/>
      <c r="X376" s="1455"/>
      <c r="Y376" s="1455"/>
      <c r="Z376" s="1455"/>
      <c r="AA376" s="1455"/>
      <c r="AB376" s="1455"/>
      <c r="AC376" s="1455"/>
      <c r="AD376" s="1455"/>
      <c r="AE376" s="1455"/>
      <c r="AF376" s="1455"/>
      <c r="AG376" s="1455"/>
      <c r="AH376" s="1455"/>
      <c r="AJ376" s="652"/>
    </row>
    <row r="377" spans="1:51" s="308" customFormat="1" ht="11.25" customHeight="1" x14ac:dyDescent="0.25">
      <c r="A377" s="326"/>
      <c r="B377" s="326"/>
      <c r="C377" s="326"/>
      <c r="D377" s="326"/>
      <c r="E377" s="326"/>
      <c r="F377" s="326"/>
      <c r="G377" s="326"/>
      <c r="H377" s="326"/>
      <c r="I377" s="326"/>
      <c r="J377" s="326"/>
      <c r="K377" s="326"/>
      <c r="L377" s="326"/>
      <c r="M377" s="326"/>
      <c r="N377" s="326"/>
      <c r="O377" s="326"/>
      <c r="P377" s="326"/>
      <c r="Q377" s="326"/>
      <c r="R377" s="326"/>
      <c r="S377" s="326"/>
      <c r="T377" s="326"/>
      <c r="U377" s="326"/>
      <c r="V377" s="326"/>
      <c r="W377" s="326"/>
      <c r="X377" s="326"/>
      <c r="Y377" s="326"/>
      <c r="Z377" s="326"/>
      <c r="AA377" s="326"/>
      <c r="AB377" s="326"/>
      <c r="AC377" s="326"/>
      <c r="AD377" s="326"/>
      <c r="AE377" s="326"/>
      <c r="AF377" s="326"/>
      <c r="AG377" s="326"/>
      <c r="AH377" s="326"/>
      <c r="AJ377" s="508"/>
      <c r="AK377" s="307"/>
      <c r="AL377" s="307"/>
      <c r="AM377" s="307"/>
      <c r="AN377" s="307"/>
      <c r="AO377" s="307"/>
      <c r="AP377" s="307"/>
      <c r="AQ377" s="307"/>
      <c r="AR377" s="307"/>
      <c r="AS377" s="307"/>
      <c r="AT377" s="307"/>
      <c r="AU377" s="307"/>
      <c r="AV377" s="307"/>
      <c r="AW377" s="307"/>
      <c r="AX377" s="307"/>
      <c r="AY377" s="307"/>
    </row>
    <row r="378" spans="1:51" s="308" customFormat="1" ht="27.75" customHeight="1" x14ac:dyDescent="0.25">
      <c r="A378" s="1454" t="s">
        <v>241</v>
      </c>
      <c r="B378" s="1454"/>
      <c r="C378" s="1454"/>
      <c r="D378" s="1454"/>
      <c r="E378" s="1454"/>
      <c r="F378" s="1454"/>
      <c r="G378" s="1454"/>
      <c r="H378" s="1454"/>
      <c r="I378" s="1454"/>
      <c r="J378" s="1454"/>
      <c r="K378" s="1454"/>
      <c r="L378" s="1454"/>
      <c r="M378" s="1454"/>
      <c r="N378" s="1454"/>
      <c r="O378" s="1454"/>
      <c r="P378" s="1454"/>
      <c r="Q378" s="1454"/>
      <c r="R378" s="1454"/>
      <c r="S378" s="1454"/>
      <c r="T378" s="1454"/>
      <c r="U378" s="1454"/>
      <c r="V378" s="1454"/>
      <c r="W378" s="1454"/>
      <c r="X378" s="1454"/>
      <c r="Y378" s="1454"/>
      <c r="Z378" s="1454"/>
      <c r="AA378" s="1454"/>
      <c r="AB378" s="1454"/>
      <c r="AC378" s="1454"/>
      <c r="AD378" s="1454"/>
      <c r="AE378" s="1454"/>
      <c r="AF378" s="1454"/>
      <c r="AG378" s="1454"/>
      <c r="AH378" s="1454"/>
      <c r="AJ378" s="512"/>
    </row>
    <row r="379" spans="1:51" s="308" customFormat="1" ht="11.25" customHeight="1" x14ac:dyDescent="0.25">
      <c r="A379" s="326"/>
      <c r="B379" s="326"/>
      <c r="C379" s="326"/>
      <c r="D379" s="326"/>
      <c r="E379" s="326"/>
      <c r="F379" s="326"/>
      <c r="G379" s="326"/>
      <c r="H379" s="326"/>
      <c r="I379" s="326"/>
      <c r="J379" s="326"/>
      <c r="K379" s="326"/>
      <c r="L379" s="326"/>
      <c r="M379" s="326"/>
      <c r="N379" s="326"/>
      <c r="O379" s="326"/>
      <c r="P379" s="326"/>
      <c r="Q379" s="326"/>
      <c r="R379" s="326"/>
      <c r="S379" s="326"/>
      <c r="T379" s="326"/>
      <c r="U379" s="326"/>
      <c r="V379" s="326"/>
      <c r="W379" s="326"/>
      <c r="X379" s="326"/>
      <c r="Y379" s="326"/>
      <c r="Z379" s="326"/>
      <c r="AA379" s="326"/>
      <c r="AB379" s="326"/>
      <c r="AC379" s="326"/>
      <c r="AD379" s="326"/>
      <c r="AE379" s="326"/>
      <c r="AF379" s="326"/>
      <c r="AG379" s="326"/>
      <c r="AH379" s="326"/>
      <c r="AJ379" s="508"/>
      <c r="AK379" s="307"/>
      <c r="AL379" s="307"/>
      <c r="AM379" s="307"/>
      <c r="AN379" s="307"/>
      <c r="AO379" s="307"/>
      <c r="AP379" s="307"/>
      <c r="AQ379" s="307"/>
      <c r="AR379" s="307"/>
      <c r="AS379" s="307"/>
      <c r="AT379" s="307"/>
      <c r="AU379" s="307"/>
      <c r="AV379" s="307"/>
      <c r="AW379" s="307"/>
      <c r="AX379" s="307"/>
      <c r="AY379" s="307"/>
    </row>
    <row r="380" spans="1:51" s="305" customFormat="1" ht="12" customHeight="1" x14ac:dyDescent="0.25">
      <c r="A380" s="1455" t="s">
        <v>242</v>
      </c>
      <c r="B380" s="1455"/>
      <c r="C380" s="1455"/>
      <c r="D380" s="1455"/>
      <c r="E380" s="1455"/>
      <c r="F380" s="1455"/>
      <c r="G380" s="1455"/>
      <c r="H380" s="1455"/>
      <c r="I380" s="1455"/>
      <c r="J380" s="1455"/>
      <c r="K380" s="1455"/>
      <c r="L380" s="1455"/>
      <c r="M380" s="1455"/>
      <c r="N380" s="1455"/>
      <c r="O380" s="1455"/>
      <c r="P380" s="1455"/>
      <c r="Q380" s="1455"/>
      <c r="R380" s="1455"/>
      <c r="S380" s="1455"/>
      <c r="T380" s="1455"/>
      <c r="U380" s="1455"/>
      <c r="V380" s="1455"/>
      <c r="W380" s="1455"/>
      <c r="X380" s="1455"/>
      <c r="Y380" s="1455"/>
      <c r="Z380" s="1455"/>
      <c r="AA380" s="1455"/>
      <c r="AB380" s="1455"/>
      <c r="AC380" s="1455"/>
      <c r="AD380" s="1455"/>
      <c r="AE380" s="1455"/>
      <c r="AF380" s="1455"/>
      <c r="AG380" s="1455"/>
      <c r="AH380" s="1455"/>
      <c r="AJ380" s="651"/>
      <c r="AK380" s="308"/>
      <c r="AL380" s="308"/>
      <c r="AM380" s="308"/>
      <c r="AN380" s="308"/>
      <c r="AO380" s="308"/>
    </row>
    <row r="381" spans="1:51" ht="15" customHeight="1" x14ac:dyDescent="0.25">
      <c r="A381" s="326"/>
      <c r="B381" s="326"/>
      <c r="C381" s="326"/>
      <c r="D381" s="1466" t="s">
        <v>243</v>
      </c>
      <c r="E381" s="1466"/>
      <c r="F381" s="1466"/>
      <c r="G381" s="1466"/>
      <c r="H381" s="1466"/>
      <c r="I381" s="1466"/>
      <c r="J381" s="1466"/>
      <c r="K381" s="1466"/>
      <c r="L381" s="1466"/>
      <c r="M381" s="1466"/>
      <c r="N381" s="1466"/>
      <c r="O381" s="1466"/>
      <c r="P381" s="1466"/>
      <c r="Q381" s="1472" t="s">
        <v>244</v>
      </c>
      <c r="R381" s="1472"/>
      <c r="S381" s="1472"/>
      <c r="T381" s="1472"/>
      <c r="U381" s="1472"/>
      <c r="V381" s="1472"/>
      <c r="W381" s="1472"/>
      <c r="X381" s="1472"/>
      <c r="Y381" s="1472"/>
      <c r="Z381" s="1472"/>
      <c r="AA381" s="1472"/>
      <c r="AB381" s="1472"/>
      <c r="AC381" s="1472"/>
      <c r="AD381" s="1472"/>
      <c r="AE381" s="1472"/>
      <c r="AF381" s="516"/>
      <c r="AG381" s="516"/>
      <c r="AH381" s="516"/>
      <c r="AJ381" s="652"/>
      <c r="AK381" s="308"/>
      <c r="AL381" s="308"/>
      <c r="AM381" s="308"/>
      <c r="AN381" s="308"/>
      <c r="AO381" s="308"/>
    </row>
    <row r="382" spans="1:51" ht="15" customHeight="1" x14ac:dyDescent="0.25">
      <c r="A382" s="656"/>
      <c r="B382" s="656"/>
      <c r="C382" s="656"/>
      <c r="D382" s="1473" t="s">
        <v>245</v>
      </c>
      <c r="E382" s="1473"/>
      <c r="F382" s="1473"/>
      <c r="G382" s="1473"/>
      <c r="H382" s="1473"/>
      <c r="I382" s="1473"/>
      <c r="J382" s="1473"/>
      <c r="K382" s="1473"/>
      <c r="L382" s="1473"/>
      <c r="M382" s="1473"/>
      <c r="N382" s="1473"/>
      <c r="O382" s="1473"/>
      <c r="P382" s="1473"/>
      <c r="Q382" s="1474" t="s">
        <v>246</v>
      </c>
      <c r="R382" s="1474"/>
      <c r="S382" s="1474"/>
      <c r="T382" s="1474"/>
      <c r="U382" s="1474"/>
      <c r="V382" s="1474"/>
      <c r="W382" s="1474"/>
      <c r="X382" s="1474"/>
      <c r="Y382" s="1474"/>
      <c r="Z382" s="1474"/>
      <c r="AA382" s="1474"/>
      <c r="AB382" s="1474"/>
      <c r="AC382" s="1474"/>
      <c r="AD382" s="1474"/>
      <c r="AE382" s="1474"/>
      <c r="AF382" s="656"/>
      <c r="AG382" s="656"/>
      <c r="AH382" s="656"/>
      <c r="AJ382" s="652"/>
      <c r="AK382" s="308"/>
      <c r="AL382" s="308"/>
      <c r="AM382" s="308"/>
      <c r="AN382" s="308"/>
      <c r="AO382" s="308"/>
    </row>
    <row r="383" spans="1:51" ht="15" customHeight="1" x14ac:dyDescent="0.25">
      <c r="A383" s="656"/>
      <c r="B383" s="656"/>
      <c r="C383" s="656"/>
      <c r="D383" s="1473" t="s">
        <v>247</v>
      </c>
      <c r="E383" s="1473"/>
      <c r="F383" s="1473"/>
      <c r="G383" s="1473"/>
      <c r="H383" s="1473"/>
      <c r="I383" s="1473"/>
      <c r="J383" s="1473"/>
      <c r="K383" s="1473"/>
      <c r="L383" s="1473"/>
      <c r="M383" s="1473"/>
      <c r="N383" s="1473"/>
      <c r="O383" s="1473"/>
      <c r="P383" s="1473"/>
      <c r="Q383" s="1474" t="s">
        <v>248</v>
      </c>
      <c r="R383" s="1474"/>
      <c r="S383" s="1474"/>
      <c r="T383" s="1474"/>
      <c r="U383" s="1474"/>
      <c r="V383" s="1474"/>
      <c r="W383" s="1474"/>
      <c r="X383" s="1474"/>
      <c r="Y383" s="1474"/>
      <c r="Z383" s="1474"/>
      <c r="AA383" s="1474"/>
      <c r="AB383" s="1474"/>
      <c r="AC383" s="1474"/>
      <c r="AD383" s="1474"/>
      <c r="AE383" s="1474"/>
      <c r="AF383" s="656"/>
      <c r="AG383" s="656"/>
      <c r="AH383" s="656"/>
      <c r="AJ383" s="652"/>
      <c r="AK383" s="308"/>
      <c r="AL383" s="308"/>
      <c r="AM383" s="308"/>
      <c r="AN383" s="308"/>
      <c r="AO383" s="308"/>
    </row>
    <row r="384" spans="1:51" ht="26.25" customHeight="1" x14ac:dyDescent="0.25">
      <c r="A384" s="656"/>
      <c r="B384" s="656"/>
      <c r="C384" s="656"/>
      <c r="D384" s="1473" t="s">
        <v>249</v>
      </c>
      <c r="E384" s="1473"/>
      <c r="F384" s="1473"/>
      <c r="G384" s="1473"/>
      <c r="H384" s="1473"/>
      <c r="I384" s="1473"/>
      <c r="J384" s="1473"/>
      <c r="K384" s="1473"/>
      <c r="L384" s="1473"/>
      <c r="M384" s="1473"/>
      <c r="N384" s="1473"/>
      <c r="O384" s="1473"/>
      <c r="P384" s="1473"/>
      <c r="Q384" s="1474" t="s">
        <v>248</v>
      </c>
      <c r="R384" s="1474"/>
      <c r="S384" s="1474"/>
      <c r="T384" s="1474"/>
      <c r="U384" s="1474"/>
      <c r="V384" s="1474"/>
      <c r="W384" s="1474"/>
      <c r="X384" s="1474"/>
      <c r="Y384" s="1474"/>
      <c r="Z384" s="1474"/>
      <c r="AA384" s="1474"/>
      <c r="AB384" s="1474"/>
      <c r="AC384" s="1474"/>
      <c r="AD384" s="1474"/>
      <c r="AE384" s="1474"/>
      <c r="AF384" s="656"/>
      <c r="AG384" s="656"/>
      <c r="AH384" s="656"/>
      <c r="AJ384" s="652"/>
      <c r="AK384" s="308"/>
      <c r="AL384" s="308"/>
      <c r="AM384" s="308"/>
      <c r="AN384" s="308"/>
      <c r="AO384" s="308"/>
    </row>
    <row r="385" spans="1:51" s="305" customFormat="1" ht="15" customHeight="1" x14ac:dyDescent="0.25">
      <c r="A385" s="327"/>
      <c r="B385" s="327"/>
      <c r="C385" s="327"/>
      <c r="D385" s="1473" t="s">
        <v>250</v>
      </c>
      <c r="E385" s="1473"/>
      <c r="F385" s="1473"/>
      <c r="G385" s="1473"/>
      <c r="H385" s="1473"/>
      <c r="I385" s="1473"/>
      <c r="J385" s="1473"/>
      <c r="K385" s="1473"/>
      <c r="L385" s="1473"/>
      <c r="M385" s="1473"/>
      <c r="N385" s="1473"/>
      <c r="O385" s="1473"/>
      <c r="P385" s="1473"/>
      <c r="Q385" s="1474" t="s">
        <v>246</v>
      </c>
      <c r="R385" s="1474"/>
      <c r="S385" s="1474"/>
      <c r="T385" s="1474"/>
      <c r="U385" s="1474"/>
      <c r="V385" s="1474"/>
      <c r="W385" s="1474"/>
      <c r="X385" s="1474"/>
      <c r="Y385" s="1474"/>
      <c r="Z385" s="1474"/>
      <c r="AA385" s="1474"/>
      <c r="AB385" s="1474"/>
      <c r="AC385" s="1474"/>
      <c r="AD385" s="1474"/>
      <c r="AE385" s="1474"/>
      <c r="AF385" s="327"/>
      <c r="AG385" s="327"/>
      <c r="AH385" s="327"/>
      <c r="AJ385" s="651"/>
      <c r="AK385" s="308"/>
      <c r="AL385" s="308"/>
      <c r="AM385" s="308"/>
      <c r="AN385" s="308"/>
      <c r="AO385" s="308"/>
    </row>
    <row r="386" spans="1:51" ht="26.25" customHeight="1" x14ac:dyDescent="0.25">
      <c r="A386" s="656"/>
      <c r="B386" s="656"/>
      <c r="C386" s="656"/>
      <c r="D386" s="1473" t="s">
        <v>251</v>
      </c>
      <c r="E386" s="1473"/>
      <c r="F386" s="1473"/>
      <c r="G386" s="1473"/>
      <c r="H386" s="1473"/>
      <c r="I386" s="1473"/>
      <c r="J386" s="1473"/>
      <c r="K386" s="1473"/>
      <c r="L386" s="1473"/>
      <c r="M386" s="1473"/>
      <c r="N386" s="1473"/>
      <c r="O386" s="1473"/>
      <c r="P386" s="1473"/>
      <c r="Q386" s="1474" t="s">
        <v>248</v>
      </c>
      <c r="R386" s="1474"/>
      <c r="S386" s="1474"/>
      <c r="T386" s="1474"/>
      <c r="U386" s="1474"/>
      <c r="V386" s="1474"/>
      <c r="W386" s="1474"/>
      <c r="X386" s="1474"/>
      <c r="Y386" s="1474"/>
      <c r="Z386" s="1474"/>
      <c r="AA386" s="1474"/>
      <c r="AB386" s="1474"/>
      <c r="AC386" s="1474"/>
      <c r="AD386" s="1474"/>
      <c r="AE386" s="1474"/>
      <c r="AF386" s="656"/>
      <c r="AG386" s="656"/>
      <c r="AH386" s="656"/>
      <c r="AJ386" s="652"/>
      <c r="AK386" s="308"/>
      <c r="AL386" s="308"/>
      <c r="AM386" s="308"/>
      <c r="AN386" s="308"/>
      <c r="AO386" s="308"/>
    </row>
    <row r="387" spans="1:51" s="305" customFormat="1" ht="15" customHeight="1" x14ac:dyDescent="0.25">
      <c r="A387" s="327"/>
      <c r="B387" s="327"/>
      <c r="C387" s="327"/>
      <c r="D387" s="1473" t="s">
        <v>252</v>
      </c>
      <c r="E387" s="1473"/>
      <c r="F387" s="1473"/>
      <c r="G387" s="1473"/>
      <c r="H387" s="1473"/>
      <c r="I387" s="1473"/>
      <c r="J387" s="1473"/>
      <c r="K387" s="1473"/>
      <c r="L387" s="1473"/>
      <c r="M387" s="1473"/>
      <c r="N387" s="1473"/>
      <c r="O387" s="1473"/>
      <c r="P387" s="1473"/>
      <c r="Q387" s="1474" t="s">
        <v>248</v>
      </c>
      <c r="R387" s="1474"/>
      <c r="S387" s="1474"/>
      <c r="T387" s="1474"/>
      <c r="U387" s="1474"/>
      <c r="V387" s="1474"/>
      <c r="W387" s="1474"/>
      <c r="X387" s="1474"/>
      <c r="Y387" s="1474"/>
      <c r="Z387" s="1474"/>
      <c r="AA387" s="1474"/>
      <c r="AB387" s="1474"/>
      <c r="AC387" s="1474"/>
      <c r="AD387" s="1474"/>
      <c r="AE387" s="1474"/>
      <c r="AF387" s="327"/>
      <c r="AG387" s="327"/>
      <c r="AH387" s="327"/>
      <c r="AJ387" s="651"/>
      <c r="AK387" s="308"/>
      <c r="AL387" s="308"/>
      <c r="AM387" s="308"/>
      <c r="AN387" s="308"/>
      <c r="AO387" s="308"/>
    </row>
    <row r="388" spans="1:51" s="308" customFormat="1" ht="14.1" customHeight="1" x14ac:dyDescent="0.25">
      <c r="A388" s="1425" t="s">
        <v>253</v>
      </c>
      <c r="B388" s="1425"/>
      <c r="C388" s="1425"/>
      <c r="D388" s="1425"/>
      <c r="E388" s="1425"/>
      <c r="F388" s="1425"/>
      <c r="G388" s="1425"/>
      <c r="H388" s="1425"/>
      <c r="I388" s="1425"/>
      <c r="J388" s="1425"/>
      <c r="K388" s="1425"/>
      <c r="L388" s="1425"/>
      <c r="M388" s="1425"/>
      <c r="N388" s="1425"/>
      <c r="O388" s="1425"/>
      <c r="P388" s="1425"/>
      <c r="Q388" s="1425"/>
      <c r="R388" s="1425"/>
      <c r="S388" s="1425"/>
      <c r="T388" s="1425"/>
      <c r="U388" s="1425"/>
      <c r="V388" s="1425"/>
      <c r="W388" s="1425"/>
      <c r="X388" s="1425"/>
      <c r="Y388" s="1425"/>
      <c r="Z388" s="1425"/>
      <c r="AA388" s="1425"/>
      <c r="AB388" s="1425"/>
      <c r="AC388" s="1425"/>
      <c r="AD388" s="1425"/>
      <c r="AE388" s="1425"/>
      <c r="AF388" s="1425"/>
      <c r="AG388" s="1425"/>
      <c r="AH388" s="1425"/>
      <c r="AJ388" s="508"/>
      <c r="AP388" s="307"/>
      <c r="AQ388" s="307"/>
      <c r="AR388" s="307"/>
      <c r="AS388" s="307"/>
      <c r="AT388" s="307"/>
      <c r="AU388" s="307"/>
      <c r="AV388" s="307"/>
      <c r="AW388" s="307"/>
      <c r="AX388" s="307"/>
      <c r="AY388" s="307"/>
    </row>
    <row r="389" spans="1:51" s="308" customFormat="1" ht="11.25" customHeight="1" x14ac:dyDescent="0.25">
      <c r="A389" s="326"/>
      <c r="B389" s="326"/>
      <c r="C389" s="326"/>
      <c r="D389" s="326"/>
      <c r="E389" s="326"/>
      <c r="F389" s="326"/>
      <c r="G389" s="326"/>
      <c r="H389" s="326"/>
      <c r="I389" s="326"/>
      <c r="J389" s="326"/>
      <c r="K389" s="326"/>
      <c r="L389" s="326"/>
      <c r="M389" s="326"/>
      <c r="N389" s="326"/>
      <c r="O389" s="326"/>
      <c r="P389" s="326"/>
      <c r="Q389" s="326"/>
      <c r="R389" s="326"/>
      <c r="S389" s="326"/>
      <c r="T389" s="326"/>
      <c r="U389" s="326"/>
      <c r="V389" s="326"/>
      <c r="W389" s="326"/>
      <c r="X389" s="326"/>
      <c r="Y389" s="326"/>
      <c r="Z389" s="326"/>
      <c r="AA389" s="326"/>
      <c r="AB389" s="326"/>
      <c r="AC389" s="326"/>
      <c r="AD389" s="326"/>
      <c r="AE389" s="326"/>
      <c r="AF389" s="326"/>
      <c r="AG389" s="326"/>
      <c r="AH389" s="326"/>
      <c r="AJ389" s="508"/>
      <c r="AK389" s="307"/>
      <c r="AL389" s="307"/>
      <c r="AM389" s="307"/>
      <c r="AN389" s="307"/>
      <c r="AO389" s="307"/>
      <c r="AP389" s="307"/>
      <c r="AQ389" s="307"/>
      <c r="AR389" s="307"/>
      <c r="AS389" s="307"/>
      <c r="AT389" s="307"/>
      <c r="AU389" s="307"/>
      <c r="AV389" s="307"/>
      <c r="AW389" s="307"/>
      <c r="AX389" s="307"/>
      <c r="AY389" s="307"/>
    </row>
    <row r="390" spans="1:51" ht="14.1" customHeight="1" x14ac:dyDescent="0.25">
      <c r="A390" s="1455" t="s">
        <v>254</v>
      </c>
      <c r="B390" s="1455"/>
      <c r="C390" s="1455"/>
      <c r="D390" s="1455"/>
      <c r="E390" s="1455"/>
      <c r="F390" s="1455"/>
      <c r="G390" s="1455"/>
      <c r="H390" s="1455"/>
      <c r="I390" s="1455"/>
      <c r="J390" s="1455"/>
      <c r="K390" s="1455"/>
      <c r="L390" s="1455"/>
      <c r="M390" s="1455"/>
      <c r="N390" s="1455"/>
      <c r="O390" s="1455"/>
      <c r="P390" s="1455"/>
      <c r="Q390" s="1455"/>
      <c r="R390" s="1455"/>
      <c r="S390" s="1455"/>
      <c r="T390" s="1455"/>
      <c r="U390" s="1455"/>
      <c r="V390" s="1455"/>
      <c r="W390" s="1455"/>
      <c r="X390" s="1455"/>
      <c r="Y390" s="1455"/>
      <c r="Z390" s="1455"/>
      <c r="AA390" s="1455"/>
      <c r="AB390" s="1455"/>
      <c r="AC390" s="1455"/>
      <c r="AD390" s="1455"/>
      <c r="AE390" s="1455"/>
      <c r="AF390" s="1455"/>
      <c r="AG390" s="1455"/>
      <c r="AH390" s="1455"/>
      <c r="AJ390" s="652"/>
    </row>
    <row r="391" spans="1:51" s="308" customFormat="1" ht="11.25" customHeight="1" x14ac:dyDescent="0.25">
      <c r="A391" s="326"/>
      <c r="B391" s="326"/>
      <c r="C391" s="326"/>
      <c r="D391" s="326"/>
      <c r="E391" s="326"/>
      <c r="F391" s="326"/>
      <c r="G391" s="326"/>
      <c r="H391" s="326"/>
      <c r="I391" s="326"/>
      <c r="J391" s="326"/>
      <c r="K391" s="326"/>
      <c r="L391" s="326"/>
      <c r="M391" s="326"/>
      <c r="N391" s="326"/>
      <c r="O391" s="326"/>
      <c r="P391" s="326"/>
      <c r="Q391" s="326"/>
      <c r="R391" s="326"/>
      <c r="S391" s="326"/>
      <c r="T391" s="326"/>
      <c r="U391" s="326"/>
      <c r="V391" s="326"/>
      <c r="W391" s="326"/>
      <c r="X391" s="326"/>
      <c r="Y391" s="326"/>
      <c r="Z391" s="326"/>
      <c r="AA391" s="326"/>
      <c r="AB391" s="326"/>
      <c r="AC391" s="326"/>
      <c r="AD391" s="326"/>
      <c r="AE391" s="326"/>
      <c r="AF391" s="326"/>
      <c r="AG391" s="326"/>
      <c r="AH391" s="326"/>
      <c r="AJ391" s="508"/>
      <c r="AK391" s="307"/>
      <c r="AL391" s="307"/>
      <c r="AM391" s="307"/>
      <c r="AN391" s="307"/>
      <c r="AO391" s="307"/>
      <c r="AP391" s="307"/>
      <c r="AQ391" s="307"/>
      <c r="AR391" s="307"/>
      <c r="AS391" s="307"/>
      <c r="AT391" s="307"/>
      <c r="AU391" s="307"/>
      <c r="AV391" s="307"/>
      <c r="AW391" s="307"/>
      <c r="AX391" s="307"/>
      <c r="AY391" s="307"/>
    </row>
    <row r="392" spans="1:51" s="308" customFormat="1" ht="27.75" customHeight="1" x14ac:dyDescent="0.25">
      <c r="A392" s="1454" t="s">
        <v>255</v>
      </c>
      <c r="B392" s="1454"/>
      <c r="C392" s="1454"/>
      <c r="D392" s="1454"/>
      <c r="E392" s="1454"/>
      <c r="F392" s="1454"/>
      <c r="G392" s="1454"/>
      <c r="H392" s="1454"/>
      <c r="I392" s="1454"/>
      <c r="J392" s="1454"/>
      <c r="K392" s="1454"/>
      <c r="L392" s="1454"/>
      <c r="M392" s="1454"/>
      <c r="N392" s="1454"/>
      <c r="O392" s="1454"/>
      <c r="P392" s="1454"/>
      <c r="Q392" s="1454"/>
      <c r="R392" s="1454"/>
      <c r="S392" s="1454"/>
      <c r="T392" s="1454"/>
      <c r="U392" s="1454"/>
      <c r="V392" s="1454"/>
      <c r="W392" s="1454"/>
      <c r="X392" s="1454"/>
      <c r="Y392" s="1454"/>
      <c r="Z392" s="1454"/>
      <c r="AA392" s="1454"/>
      <c r="AB392" s="1454"/>
      <c r="AC392" s="1454"/>
      <c r="AD392" s="1454"/>
      <c r="AE392" s="1454"/>
      <c r="AF392" s="1454"/>
      <c r="AG392" s="1454"/>
      <c r="AH392" s="1454"/>
      <c r="AJ392" s="512"/>
    </row>
    <row r="393" spans="1:51" s="308" customFormat="1" ht="11.25" customHeight="1" x14ac:dyDescent="0.25">
      <c r="A393" s="326"/>
      <c r="B393" s="326"/>
      <c r="C393" s="326"/>
      <c r="D393" s="326"/>
      <c r="E393" s="326"/>
      <c r="F393" s="326"/>
      <c r="G393" s="326"/>
      <c r="H393" s="326"/>
      <c r="I393" s="326"/>
      <c r="J393" s="326"/>
      <c r="K393" s="326"/>
      <c r="L393" s="326"/>
      <c r="M393" s="326"/>
      <c r="N393" s="326"/>
      <c r="O393" s="326"/>
      <c r="P393" s="326"/>
      <c r="Q393" s="326"/>
      <c r="R393" s="326"/>
      <c r="S393" s="326"/>
      <c r="T393" s="326"/>
      <c r="U393" s="326"/>
      <c r="V393" s="326"/>
      <c r="W393" s="326"/>
      <c r="X393" s="326"/>
      <c r="Y393" s="326"/>
      <c r="Z393" s="326"/>
      <c r="AA393" s="326"/>
      <c r="AB393" s="326"/>
      <c r="AC393" s="326"/>
      <c r="AD393" s="326"/>
      <c r="AE393" s="326"/>
      <c r="AF393" s="326"/>
      <c r="AG393" s="326"/>
      <c r="AH393" s="326"/>
      <c r="AJ393" s="508"/>
      <c r="AK393" s="307"/>
      <c r="AL393" s="307"/>
      <c r="AM393" s="307"/>
      <c r="AN393" s="307"/>
      <c r="AO393" s="307"/>
      <c r="AP393" s="307"/>
      <c r="AQ393" s="307"/>
      <c r="AR393" s="307"/>
      <c r="AS393" s="307"/>
      <c r="AT393" s="307"/>
      <c r="AU393" s="307"/>
      <c r="AV393" s="307"/>
      <c r="AW393" s="307"/>
      <c r="AX393" s="307"/>
      <c r="AY393" s="307"/>
    </row>
    <row r="394" spans="1:51" s="308" customFormat="1" ht="27.75" customHeight="1" x14ac:dyDescent="0.25">
      <c r="A394" s="1454" t="s">
        <v>256</v>
      </c>
      <c r="B394" s="1454"/>
      <c r="C394" s="1454"/>
      <c r="D394" s="1454"/>
      <c r="E394" s="1454"/>
      <c r="F394" s="1454"/>
      <c r="G394" s="1454"/>
      <c r="H394" s="1454"/>
      <c r="I394" s="1454"/>
      <c r="J394" s="1454"/>
      <c r="K394" s="1454"/>
      <c r="L394" s="1454"/>
      <c r="M394" s="1454"/>
      <c r="N394" s="1454"/>
      <c r="O394" s="1454"/>
      <c r="P394" s="1454"/>
      <c r="Q394" s="1454"/>
      <c r="R394" s="1454"/>
      <c r="S394" s="1454"/>
      <c r="T394" s="1454"/>
      <c r="U394" s="1454"/>
      <c r="V394" s="1454"/>
      <c r="W394" s="1454"/>
      <c r="X394" s="1454"/>
      <c r="Y394" s="1454"/>
      <c r="Z394" s="1454"/>
      <c r="AA394" s="1454"/>
      <c r="AB394" s="1454"/>
      <c r="AC394" s="1454"/>
      <c r="AD394" s="1454"/>
      <c r="AE394" s="1454"/>
      <c r="AF394" s="1454"/>
      <c r="AG394" s="1454"/>
      <c r="AH394" s="1454"/>
      <c r="AJ394" s="512"/>
    </row>
    <row r="395" spans="1:51" s="308" customFormat="1" ht="11.25" customHeight="1" x14ac:dyDescent="0.25">
      <c r="A395" s="326"/>
      <c r="B395" s="326"/>
      <c r="C395" s="326"/>
      <c r="D395" s="326"/>
      <c r="E395" s="326"/>
      <c r="F395" s="326"/>
      <c r="G395" s="326"/>
      <c r="H395" s="326"/>
      <c r="I395" s="326"/>
      <c r="J395" s="326"/>
      <c r="K395" s="326"/>
      <c r="L395" s="326"/>
      <c r="M395" s="326"/>
      <c r="N395" s="326"/>
      <c r="O395" s="326"/>
      <c r="P395" s="326"/>
      <c r="Q395" s="326"/>
      <c r="R395" s="326"/>
      <c r="S395" s="326"/>
      <c r="T395" s="326"/>
      <c r="U395" s="326"/>
      <c r="V395" s="326"/>
      <c r="W395" s="326"/>
      <c r="X395" s="326"/>
      <c r="Y395" s="326"/>
      <c r="Z395" s="326"/>
      <c r="AA395" s="326"/>
      <c r="AB395" s="326"/>
      <c r="AC395" s="326"/>
      <c r="AD395" s="326"/>
      <c r="AE395" s="326"/>
      <c r="AF395" s="326"/>
      <c r="AG395" s="326"/>
      <c r="AH395" s="326"/>
      <c r="AJ395" s="508"/>
      <c r="AK395" s="307"/>
      <c r="AL395" s="307"/>
      <c r="AM395" s="307"/>
      <c r="AN395" s="307"/>
      <c r="AO395" s="307"/>
      <c r="AP395" s="307"/>
      <c r="AQ395" s="307"/>
      <c r="AR395" s="307"/>
      <c r="AS395" s="307"/>
      <c r="AT395" s="307"/>
      <c r="AU395" s="307"/>
      <c r="AV395" s="307"/>
      <c r="AW395" s="307"/>
      <c r="AX395" s="307"/>
      <c r="AY395" s="307"/>
    </row>
    <row r="396" spans="1:51" s="305" customFormat="1" ht="12" customHeight="1" x14ac:dyDescent="0.25">
      <c r="A396" s="1455" t="s">
        <v>257</v>
      </c>
      <c r="B396" s="1455"/>
      <c r="C396" s="1455"/>
      <c r="D396" s="1455"/>
      <c r="E396" s="1455"/>
      <c r="F396" s="1455"/>
      <c r="G396" s="1455"/>
      <c r="H396" s="1455"/>
      <c r="I396" s="1455"/>
      <c r="J396" s="1455"/>
      <c r="K396" s="1455"/>
      <c r="L396" s="1455"/>
      <c r="M396" s="1455"/>
      <c r="N396" s="1455"/>
      <c r="O396" s="1455"/>
      <c r="P396" s="1455"/>
      <c r="Q396" s="1455"/>
      <c r="R396" s="1455"/>
      <c r="S396" s="1455"/>
      <c r="T396" s="1455"/>
      <c r="U396" s="1455"/>
      <c r="V396" s="1455"/>
      <c r="W396" s="1455"/>
      <c r="X396" s="1455"/>
      <c r="Y396" s="1455"/>
      <c r="Z396" s="1455"/>
      <c r="AA396" s="1455"/>
      <c r="AB396" s="1455"/>
      <c r="AC396" s="1455"/>
      <c r="AD396" s="1455"/>
      <c r="AE396" s="1455"/>
      <c r="AF396" s="1455"/>
      <c r="AG396" s="1455"/>
      <c r="AH396" s="1455"/>
      <c r="AJ396" s="651"/>
      <c r="AK396" s="308"/>
      <c r="AL396" s="308"/>
      <c r="AM396" s="308"/>
      <c r="AN396" s="308"/>
      <c r="AO396" s="308"/>
    </row>
    <row r="397" spans="1:51" s="305" customFormat="1" ht="15" customHeight="1" x14ac:dyDescent="0.25">
      <c r="A397" s="327"/>
      <c r="B397" s="327"/>
      <c r="C397" s="327"/>
      <c r="D397" s="327"/>
      <c r="E397" s="327"/>
      <c r="F397" s="327"/>
      <c r="J397" s="1477" t="s">
        <v>258</v>
      </c>
      <c r="K397" s="1477"/>
      <c r="L397" s="1477"/>
      <c r="M397" s="1477"/>
      <c r="N397" s="1477"/>
      <c r="O397" s="1477"/>
      <c r="P397" s="1477"/>
      <c r="Q397" s="1477"/>
      <c r="R397" s="1477"/>
      <c r="S397" s="1477"/>
      <c r="T397" s="1477"/>
      <c r="U397" s="1477"/>
      <c r="V397" s="1472" t="s">
        <v>259</v>
      </c>
      <c r="W397" s="1472"/>
      <c r="X397" s="1472"/>
      <c r="Z397" s="327"/>
      <c r="AA397" s="327"/>
      <c r="AB397" s="327"/>
      <c r="AC397" s="327"/>
      <c r="AD397" s="327"/>
      <c r="AE397" s="327"/>
      <c r="AF397" s="327"/>
      <c r="AG397" s="327"/>
      <c r="AH397" s="327"/>
      <c r="AJ397" s="651"/>
      <c r="AK397" s="308"/>
      <c r="AL397" s="308"/>
      <c r="AM397" s="308"/>
      <c r="AN397" s="308"/>
      <c r="AO397" s="308"/>
    </row>
    <row r="398" spans="1:51" s="305" customFormat="1" ht="15" customHeight="1" x14ac:dyDescent="0.25">
      <c r="A398" s="327"/>
      <c r="B398" s="327"/>
      <c r="C398" s="327"/>
      <c r="D398" s="327"/>
      <c r="E398" s="327"/>
      <c r="F398" s="327"/>
      <c r="J398" s="1475" t="s">
        <v>260</v>
      </c>
      <c r="K398" s="1475"/>
      <c r="L398" s="1475"/>
      <c r="M398" s="1475"/>
      <c r="N398" s="1475"/>
      <c r="O398" s="1475"/>
      <c r="P398" s="1475"/>
      <c r="Q398" s="1475"/>
      <c r="R398" s="1475"/>
      <c r="S398" s="1475"/>
      <c r="T398" s="1475"/>
      <c r="U398" s="1475"/>
      <c r="V398" s="1476" t="s">
        <v>261</v>
      </c>
      <c r="W398" s="1476"/>
      <c r="X398" s="1476"/>
      <c r="Z398" s="327"/>
      <c r="AA398" s="327"/>
      <c r="AB398" s="327"/>
      <c r="AC398" s="327"/>
      <c r="AD398" s="327"/>
      <c r="AE398" s="327"/>
      <c r="AF398" s="327"/>
      <c r="AG398" s="327"/>
      <c r="AH398" s="327"/>
      <c r="AJ398" s="651"/>
      <c r="AK398" s="308"/>
      <c r="AL398" s="308"/>
      <c r="AM398" s="308"/>
      <c r="AN398" s="308"/>
      <c r="AO398" s="308"/>
    </row>
    <row r="399" spans="1:51" s="305" customFormat="1" ht="15" customHeight="1" x14ac:dyDescent="0.25">
      <c r="A399" s="327"/>
      <c r="B399" s="327"/>
      <c r="C399" s="327"/>
      <c r="D399" s="327"/>
      <c r="E399" s="327"/>
      <c r="F399" s="327"/>
      <c r="J399" s="1475" t="s">
        <v>262</v>
      </c>
      <c r="K399" s="1475"/>
      <c r="L399" s="1475"/>
      <c r="M399" s="1475"/>
      <c r="N399" s="1475"/>
      <c r="O399" s="1475"/>
      <c r="P399" s="1475"/>
      <c r="Q399" s="1475"/>
      <c r="R399" s="1475"/>
      <c r="S399" s="1475"/>
      <c r="T399" s="1475"/>
      <c r="U399" s="1475"/>
      <c r="V399" s="1476" t="s">
        <v>263</v>
      </c>
      <c r="W399" s="1476"/>
      <c r="X399" s="1476"/>
      <c r="Z399" s="327"/>
      <c r="AA399" s="327"/>
      <c r="AB399" s="327"/>
      <c r="AC399" s="327"/>
      <c r="AD399" s="327"/>
      <c r="AE399" s="327"/>
      <c r="AF399" s="327"/>
      <c r="AG399" s="327"/>
      <c r="AH399" s="327"/>
      <c r="AJ399" s="651"/>
      <c r="AK399" s="308"/>
      <c r="AL399" s="308"/>
      <c r="AM399" s="308"/>
      <c r="AN399" s="308"/>
      <c r="AO399" s="308"/>
    </row>
    <row r="400" spans="1:51" s="305" customFormat="1" ht="15" customHeight="1" x14ac:dyDescent="0.25">
      <c r="A400" s="327"/>
      <c r="B400" s="327"/>
      <c r="C400" s="327"/>
      <c r="D400" s="327"/>
      <c r="E400" s="327"/>
      <c r="F400" s="327"/>
      <c r="J400" s="1475" t="s">
        <v>264</v>
      </c>
      <c r="K400" s="1475"/>
      <c r="L400" s="1475"/>
      <c r="M400" s="1475"/>
      <c r="N400" s="1475"/>
      <c r="O400" s="1475"/>
      <c r="P400" s="1475"/>
      <c r="Q400" s="1475"/>
      <c r="R400" s="1475"/>
      <c r="S400" s="1475"/>
      <c r="T400" s="1475"/>
      <c r="U400" s="1475"/>
      <c r="V400" s="1476" t="s">
        <v>265</v>
      </c>
      <c r="W400" s="1476"/>
      <c r="X400" s="1476"/>
      <c r="Z400" s="327"/>
      <c r="AA400" s="327"/>
      <c r="AB400" s="327"/>
      <c r="AC400" s="327"/>
      <c r="AD400" s="327"/>
      <c r="AE400" s="327"/>
      <c r="AF400" s="327"/>
      <c r="AG400" s="327"/>
      <c r="AH400" s="327"/>
      <c r="AJ400" s="651"/>
    </row>
    <row r="401" spans="1:51" s="305" customFormat="1" ht="15" customHeight="1" x14ac:dyDescent="0.25">
      <c r="A401" s="327"/>
      <c r="B401" s="327"/>
      <c r="C401" s="327"/>
      <c r="D401" s="327"/>
      <c r="E401" s="327"/>
      <c r="F401" s="327"/>
      <c r="J401" s="1475" t="s">
        <v>266</v>
      </c>
      <c r="K401" s="1475"/>
      <c r="L401" s="1475"/>
      <c r="M401" s="1475"/>
      <c r="N401" s="1475"/>
      <c r="O401" s="1475"/>
      <c r="P401" s="1475"/>
      <c r="Q401" s="1475"/>
      <c r="R401" s="1475"/>
      <c r="S401" s="1475"/>
      <c r="T401" s="1475"/>
      <c r="U401" s="1475"/>
      <c r="V401" s="1476" t="s">
        <v>267</v>
      </c>
      <c r="W401" s="1476"/>
      <c r="X401" s="1476"/>
      <c r="Z401" s="514"/>
      <c r="AA401" s="327"/>
      <c r="AB401" s="327"/>
      <c r="AC401" s="327"/>
      <c r="AD401" s="327"/>
      <c r="AE401" s="327"/>
      <c r="AF401" s="327"/>
      <c r="AG401" s="327"/>
      <c r="AH401" s="327"/>
      <c r="AJ401" s="651"/>
    </row>
    <row r="402" spans="1:51" s="308" customFormat="1" ht="11.25" customHeight="1" x14ac:dyDescent="0.25">
      <c r="A402" s="326"/>
      <c r="B402" s="326"/>
      <c r="C402" s="326"/>
      <c r="D402" s="326"/>
      <c r="E402" s="326"/>
      <c r="F402" s="326"/>
      <c r="G402" s="326"/>
      <c r="H402" s="326"/>
      <c r="I402" s="326"/>
      <c r="J402" s="326"/>
      <c r="K402" s="326"/>
      <c r="L402" s="326"/>
      <c r="M402" s="326"/>
      <c r="N402" s="326"/>
      <c r="O402" s="326"/>
      <c r="P402" s="326"/>
      <c r="Q402" s="326"/>
      <c r="R402" s="326"/>
      <c r="S402" s="326"/>
      <c r="T402" s="326"/>
      <c r="U402" s="326"/>
      <c r="V402" s="326"/>
      <c r="W402" s="326"/>
      <c r="X402" s="326"/>
      <c r="Y402" s="326"/>
      <c r="Z402" s="326"/>
      <c r="AA402" s="326"/>
      <c r="AB402" s="326"/>
      <c r="AC402" s="326"/>
      <c r="AD402" s="326"/>
      <c r="AE402" s="326"/>
      <c r="AF402" s="326"/>
      <c r="AG402" s="326"/>
      <c r="AH402" s="326"/>
      <c r="AJ402" s="508"/>
      <c r="AK402" s="307"/>
      <c r="AL402" s="307"/>
      <c r="AM402" s="307"/>
      <c r="AN402" s="307"/>
      <c r="AO402" s="307"/>
      <c r="AP402" s="307"/>
      <c r="AQ402" s="307"/>
      <c r="AR402" s="307"/>
      <c r="AS402" s="307"/>
      <c r="AT402" s="307"/>
      <c r="AU402" s="307"/>
      <c r="AV402" s="307"/>
      <c r="AW402" s="307"/>
      <c r="AX402" s="307"/>
      <c r="AY402" s="307"/>
    </row>
    <row r="403" spans="1:51" s="305" customFormat="1" ht="15" customHeight="1" x14ac:dyDescent="0.25">
      <c r="A403" s="1455" t="s">
        <v>268</v>
      </c>
      <c r="B403" s="1455"/>
      <c r="C403" s="1455"/>
      <c r="D403" s="1455"/>
      <c r="E403" s="1455"/>
      <c r="F403" s="1455"/>
      <c r="G403" s="1455"/>
      <c r="H403" s="1455"/>
      <c r="I403" s="1455"/>
      <c r="J403" s="1455"/>
      <c r="K403" s="1455"/>
      <c r="L403" s="1455"/>
      <c r="M403" s="1455"/>
      <c r="N403" s="1455"/>
      <c r="O403" s="1455"/>
      <c r="P403" s="1455"/>
      <c r="Q403" s="1455"/>
      <c r="R403" s="1455"/>
      <c r="S403" s="1455"/>
      <c r="T403" s="1455"/>
      <c r="U403" s="1455"/>
      <c r="V403" s="1455"/>
      <c r="W403" s="1455"/>
      <c r="X403" s="1455"/>
      <c r="Y403" s="1455"/>
      <c r="Z403" s="1455"/>
      <c r="AA403" s="1455"/>
      <c r="AB403" s="1455"/>
      <c r="AC403" s="1455"/>
      <c r="AD403" s="1455"/>
      <c r="AE403" s="1455"/>
      <c r="AF403" s="1455"/>
      <c r="AG403" s="1455"/>
      <c r="AH403" s="1455"/>
      <c r="AJ403" s="651"/>
    </row>
    <row r="404" spans="1:51" s="308" customFormat="1" ht="11.25" customHeight="1" x14ac:dyDescent="0.25">
      <c r="A404" s="326"/>
      <c r="B404" s="326"/>
      <c r="C404" s="326"/>
      <c r="D404" s="326"/>
      <c r="E404" s="326"/>
      <c r="F404" s="326"/>
      <c r="G404" s="326"/>
      <c r="H404" s="326"/>
      <c r="I404" s="326"/>
      <c r="J404" s="326"/>
      <c r="K404" s="326"/>
      <c r="L404" s="326"/>
      <c r="M404" s="326"/>
      <c r="N404" s="326"/>
      <c r="O404" s="326"/>
      <c r="P404" s="326"/>
      <c r="Q404" s="326"/>
      <c r="R404" s="326"/>
      <c r="S404" s="326"/>
      <c r="T404" s="326"/>
      <c r="U404" s="326"/>
      <c r="V404" s="326"/>
      <c r="W404" s="326"/>
      <c r="X404" s="326"/>
      <c r="Y404" s="326"/>
      <c r="Z404" s="326"/>
      <c r="AA404" s="326"/>
      <c r="AB404" s="326"/>
      <c r="AC404" s="326"/>
      <c r="AD404" s="326"/>
      <c r="AE404" s="326"/>
      <c r="AF404" s="326"/>
      <c r="AG404" s="326"/>
      <c r="AH404" s="326"/>
      <c r="AJ404" s="508"/>
      <c r="AK404" s="307"/>
      <c r="AL404" s="307"/>
      <c r="AM404" s="307"/>
      <c r="AN404" s="307"/>
      <c r="AO404" s="307"/>
      <c r="AP404" s="307"/>
      <c r="AQ404" s="307"/>
      <c r="AR404" s="307"/>
      <c r="AS404" s="307"/>
      <c r="AT404" s="307"/>
      <c r="AU404" s="307"/>
      <c r="AV404" s="307"/>
      <c r="AW404" s="307"/>
      <c r="AX404" s="307"/>
      <c r="AY404" s="307"/>
    </row>
    <row r="405" spans="1:51" s="308" customFormat="1" ht="14.25" customHeight="1" x14ac:dyDescent="0.25">
      <c r="A405" s="1454" t="s">
        <v>269</v>
      </c>
      <c r="B405" s="1454"/>
      <c r="C405" s="1454"/>
      <c r="D405" s="1454"/>
      <c r="E405" s="1454"/>
      <c r="F405" s="1454"/>
      <c r="G405" s="1454"/>
      <c r="H405" s="1454"/>
      <c r="I405" s="1454"/>
      <c r="J405" s="1454"/>
      <c r="K405" s="1454"/>
      <c r="L405" s="1454"/>
      <c r="M405" s="1454"/>
      <c r="N405" s="1454"/>
      <c r="O405" s="1454"/>
      <c r="P405" s="1454"/>
      <c r="Q405" s="1454"/>
      <c r="R405" s="1454"/>
      <c r="S405" s="1454"/>
      <c r="T405" s="1454"/>
      <c r="U405" s="1454"/>
      <c r="V405" s="1454"/>
      <c r="W405" s="1454"/>
      <c r="X405" s="1454"/>
      <c r="Y405" s="1454"/>
      <c r="Z405" s="1454"/>
      <c r="AA405" s="1454"/>
      <c r="AB405" s="1454"/>
      <c r="AC405" s="1454"/>
      <c r="AD405" s="1454"/>
      <c r="AE405" s="1454"/>
      <c r="AF405" s="1454"/>
      <c r="AG405" s="1454"/>
      <c r="AH405" s="1454"/>
      <c r="AJ405" s="512"/>
    </row>
    <row r="406" spans="1:51" s="308" customFormat="1" ht="11.25" customHeight="1" x14ac:dyDescent="0.25">
      <c r="A406" s="326"/>
      <c r="B406" s="326"/>
      <c r="C406" s="326"/>
      <c r="D406" s="326"/>
      <c r="E406" s="326"/>
      <c r="F406" s="326"/>
      <c r="G406" s="326"/>
      <c r="H406" s="326"/>
      <c r="I406" s="326"/>
      <c r="J406" s="326"/>
      <c r="K406" s="326"/>
      <c r="L406" s="326"/>
      <c r="M406" s="326"/>
      <c r="N406" s="326"/>
      <c r="O406" s="326"/>
      <c r="P406" s="326"/>
      <c r="Q406" s="326"/>
      <c r="R406" s="326"/>
      <c r="S406" s="326"/>
      <c r="T406" s="326"/>
      <c r="U406" s="326"/>
      <c r="V406" s="326"/>
      <c r="W406" s="326"/>
      <c r="X406" s="326"/>
      <c r="Y406" s="326"/>
      <c r="Z406" s="326"/>
      <c r="AA406" s="326"/>
      <c r="AB406" s="326"/>
      <c r="AC406" s="326"/>
      <c r="AD406" s="326"/>
      <c r="AE406" s="326"/>
      <c r="AF406" s="326"/>
      <c r="AG406" s="326"/>
      <c r="AH406" s="326"/>
      <c r="AJ406" s="508"/>
      <c r="AK406" s="307"/>
      <c r="AL406" s="307"/>
      <c r="AM406" s="307"/>
      <c r="AN406" s="307"/>
      <c r="AO406" s="307"/>
      <c r="AP406" s="307"/>
      <c r="AQ406" s="307"/>
      <c r="AR406" s="307"/>
      <c r="AS406" s="307"/>
      <c r="AT406" s="307"/>
      <c r="AU406" s="307"/>
      <c r="AV406" s="307"/>
      <c r="AW406" s="307"/>
      <c r="AX406" s="307"/>
      <c r="AY406" s="307"/>
    </row>
    <row r="407" spans="1:51" ht="14.1" customHeight="1" x14ac:dyDescent="0.25">
      <c r="A407" s="1455" t="s">
        <v>270</v>
      </c>
      <c r="B407" s="1455"/>
      <c r="C407" s="1455"/>
      <c r="D407" s="1455"/>
      <c r="E407" s="1455"/>
      <c r="F407" s="1455"/>
      <c r="G407" s="1455"/>
      <c r="H407" s="1455"/>
      <c r="I407" s="1455"/>
      <c r="J407" s="1455"/>
      <c r="K407" s="1455"/>
      <c r="L407" s="1455"/>
      <c r="M407" s="1455"/>
      <c r="N407" s="1455"/>
      <c r="O407" s="1455"/>
      <c r="P407" s="1455"/>
      <c r="Q407" s="1455"/>
      <c r="R407" s="1455"/>
      <c r="S407" s="1455"/>
      <c r="T407" s="1455"/>
      <c r="U407" s="1455"/>
      <c r="V407" s="1455"/>
      <c r="W407" s="1455"/>
      <c r="X407" s="1455"/>
      <c r="Y407" s="1455"/>
      <c r="Z407" s="1455"/>
      <c r="AA407" s="1455"/>
      <c r="AB407" s="1455"/>
      <c r="AC407" s="1455"/>
      <c r="AD407" s="1455"/>
      <c r="AE407" s="1455"/>
      <c r="AF407" s="1455"/>
      <c r="AG407" s="1455"/>
      <c r="AH407" s="1455"/>
      <c r="AJ407" s="652"/>
    </row>
    <row r="408" spans="1:51" s="308" customFormat="1" ht="11.25" customHeight="1" x14ac:dyDescent="0.25">
      <c r="A408" s="326"/>
      <c r="B408" s="326"/>
      <c r="C408" s="326"/>
      <c r="D408" s="326"/>
      <c r="E408" s="326"/>
      <c r="F408" s="326"/>
      <c r="G408" s="326"/>
      <c r="H408" s="326"/>
      <c r="I408" s="326"/>
      <c r="J408" s="326"/>
      <c r="K408" s="326"/>
      <c r="L408" s="326"/>
      <c r="M408" s="326"/>
      <c r="N408" s="326"/>
      <c r="O408" s="326"/>
      <c r="P408" s="326"/>
      <c r="Q408" s="326"/>
      <c r="R408" s="326"/>
      <c r="S408" s="326"/>
      <c r="T408" s="326"/>
      <c r="U408" s="326"/>
      <c r="V408" s="326"/>
      <c r="W408" s="326"/>
      <c r="X408" s="326"/>
      <c r="Y408" s="326"/>
      <c r="Z408" s="326"/>
      <c r="AA408" s="326"/>
      <c r="AB408" s="326"/>
      <c r="AC408" s="326"/>
      <c r="AD408" s="326"/>
      <c r="AE408" s="326"/>
      <c r="AF408" s="326"/>
      <c r="AG408" s="326"/>
      <c r="AH408" s="326"/>
      <c r="AJ408" s="508"/>
      <c r="AK408" s="307"/>
      <c r="AL408" s="307"/>
      <c r="AM408" s="307"/>
      <c r="AN408" s="307"/>
      <c r="AO408" s="307"/>
      <c r="AP408" s="307"/>
      <c r="AQ408" s="307"/>
      <c r="AR408" s="307"/>
      <c r="AS408" s="307"/>
      <c r="AT408" s="307"/>
      <c r="AU408" s="307"/>
      <c r="AV408" s="307"/>
      <c r="AW408" s="307"/>
      <c r="AX408" s="307"/>
      <c r="AY408" s="307"/>
    </row>
    <row r="409" spans="1:51" s="308" customFormat="1" ht="14.25" customHeight="1" x14ac:dyDescent="0.25">
      <c r="A409" s="1454" t="s">
        <v>271</v>
      </c>
      <c r="B409" s="1454"/>
      <c r="C409" s="1454"/>
      <c r="D409" s="1454"/>
      <c r="E409" s="1454"/>
      <c r="F409" s="1454"/>
      <c r="G409" s="1454"/>
      <c r="H409" s="1454"/>
      <c r="I409" s="1454"/>
      <c r="J409" s="1454"/>
      <c r="K409" s="1454"/>
      <c r="L409" s="1454"/>
      <c r="M409" s="1454"/>
      <c r="N409" s="1454"/>
      <c r="O409" s="1454"/>
      <c r="P409" s="1454"/>
      <c r="Q409" s="1454"/>
      <c r="R409" s="1454"/>
      <c r="S409" s="1454"/>
      <c r="T409" s="1454"/>
      <c r="U409" s="1454"/>
      <c r="V409" s="1454"/>
      <c r="W409" s="1454"/>
      <c r="X409" s="1454"/>
      <c r="Y409" s="1454"/>
      <c r="Z409" s="1454"/>
      <c r="AA409" s="1454"/>
      <c r="AB409" s="1454"/>
      <c r="AC409" s="1454"/>
      <c r="AD409" s="1454"/>
      <c r="AE409" s="1454"/>
      <c r="AF409" s="1454"/>
      <c r="AG409" s="1454"/>
      <c r="AH409" s="1454"/>
      <c r="AJ409" s="512"/>
    </row>
    <row r="410" spans="1:51" s="308" customFormat="1" ht="11.25" customHeight="1" x14ac:dyDescent="0.25">
      <c r="A410" s="326"/>
      <c r="B410" s="326"/>
      <c r="C410" s="326"/>
      <c r="D410" s="326"/>
      <c r="E410" s="326"/>
      <c r="F410" s="326"/>
      <c r="G410" s="326"/>
      <c r="H410" s="326"/>
      <c r="I410" s="326"/>
      <c r="J410" s="326"/>
      <c r="K410" s="326"/>
      <c r="L410" s="326"/>
      <c r="M410" s="326"/>
      <c r="N410" s="326"/>
      <c r="O410" s="326"/>
      <c r="P410" s="326"/>
      <c r="Q410" s="326"/>
      <c r="R410" s="326"/>
      <c r="S410" s="326"/>
      <c r="T410" s="326"/>
      <c r="U410" s="326"/>
      <c r="V410" s="326"/>
      <c r="W410" s="326"/>
      <c r="X410" s="326"/>
      <c r="Y410" s="326"/>
      <c r="Z410" s="326"/>
      <c r="AA410" s="326"/>
      <c r="AB410" s="326"/>
      <c r="AC410" s="326"/>
      <c r="AD410" s="326"/>
      <c r="AE410" s="326"/>
      <c r="AF410" s="326"/>
      <c r="AG410" s="326"/>
      <c r="AH410" s="326"/>
      <c r="AJ410" s="508"/>
      <c r="AK410" s="307"/>
      <c r="AL410" s="307"/>
      <c r="AM410" s="307"/>
      <c r="AN410" s="307"/>
      <c r="AO410" s="307"/>
      <c r="AP410" s="307"/>
      <c r="AQ410" s="307"/>
      <c r="AR410" s="307"/>
      <c r="AS410" s="307"/>
      <c r="AT410" s="307"/>
      <c r="AU410" s="307"/>
      <c r="AV410" s="307"/>
      <c r="AW410" s="307"/>
      <c r="AX410" s="307"/>
      <c r="AY410" s="307"/>
    </row>
    <row r="411" spans="1:51" s="308" customFormat="1" ht="14.25" customHeight="1" x14ac:dyDescent="0.25">
      <c r="A411" s="1454" t="s">
        <v>272</v>
      </c>
      <c r="B411" s="1454"/>
      <c r="C411" s="1454"/>
      <c r="D411" s="1454"/>
      <c r="E411" s="1454"/>
      <c r="F411" s="1454"/>
      <c r="G411" s="1454"/>
      <c r="H411" s="1454"/>
      <c r="I411" s="1454"/>
      <c r="J411" s="1454"/>
      <c r="K411" s="1454"/>
      <c r="L411" s="1454"/>
      <c r="M411" s="1454"/>
      <c r="N411" s="1454"/>
      <c r="O411" s="1454"/>
      <c r="P411" s="1454"/>
      <c r="Q411" s="1454"/>
      <c r="R411" s="1454"/>
      <c r="S411" s="1454"/>
      <c r="T411" s="1454"/>
      <c r="U411" s="1454"/>
      <c r="V411" s="1454"/>
      <c r="W411" s="1454"/>
      <c r="X411" s="1454"/>
      <c r="Y411" s="1454"/>
      <c r="Z411" s="1454"/>
      <c r="AA411" s="1454"/>
      <c r="AB411" s="1454"/>
      <c r="AC411" s="1454"/>
      <c r="AD411" s="1454"/>
      <c r="AE411" s="1454"/>
      <c r="AF411" s="1454"/>
      <c r="AG411" s="1454"/>
      <c r="AH411" s="1454"/>
      <c r="AJ411" s="512"/>
    </row>
    <row r="412" spans="1:51" s="308" customFormat="1" ht="14.25" customHeight="1" x14ac:dyDescent="0.25">
      <c r="A412" s="1454" t="s">
        <v>273</v>
      </c>
      <c r="B412" s="1454"/>
      <c r="C412" s="1454"/>
      <c r="D412" s="1454"/>
      <c r="E412" s="1454"/>
      <c r="F412" s="1454"/>
      <c r="G412" s="1454"/>
      <c r="H412" s="1454"/>
      <c r="I412" s="1454"/>
      <c r="J412" s="1454"/>
      <c r="K412" s="1454"/>
      <c r="L412" s="1454"/>
      <c r="M412" s="1454"/>
      <c r="N412" s="1454"/>
      <c r="O412" s="1454"/>
      <c r="P412" s="1454"/>
      <c r="Q412" s="1454"/>
      <c r="R412" s="1454"/>
      <c r="S412" s="1454"/>
      <c r="T412" s="1454"/>
      <c r="U412" s="1454"/>
      <c r="V412" s="1454"/>
      <c r="W412" s="1454"/>
      <c r="X412" s="1454"/>
      <c r="Y412" s="1454"/>
      <c r="Z412" s="1454"/>
      <c r="AA412" s="1454"/>
      <c r="AB412" s="1454"/>
      <c r="AC412" s="1454"/>
      <c r="AD412" s="1454"/>
      <c r="AE412" s="1454"/>
      <c r="AF412" s="1454"/>
      <c r="AG412" s="1454"/>
      <c r="AH412" s="1454"/>
      <c r="AJ412" s="512"/>
    </row>
    <row r="413" spans="1:51" s="308" customFormat="1" ht="14.25" customHeight="1" x14ac:dyDescent="0.25">
      <c r="A413" s="1454" t="s">
        <v>274</v>
      </c>
      <c r="B413" s="1454"/>
      <c r="C413" s="1454"/>
      <c r="D413" s="1454"/>
      <c r="E413" s="1454"/>
      <c r="F413" s="1454"/>
      <c r="G413" s="1454"/>
      <c r="H413" s="1454"/>
      <c r="I413" s="1454"/>
      <c r="J413" s="1454"/>
      <c r="K413" s="1454"/>
      <c r="L413" s="1454"/>
      <c r="M413" s="1454"/>
      <c r="N413" s="1454"/>
      <c r="O413" s="1454"/>
      <c r="P413" s="1454"/>
      <c r="Q413" s="1454"/>
      <c r="R413" s="1454"/>
      <c r="S413" s="1454"/>
      <c r="T413" s="1454"/>
      <c r="U413" s="1454"/>
      <c r="V413" s="1454"/>
      <c r="W413" s="1454"/>
      <c r="X413" s="1454"/>
      <c r="Y413" s="1454"/>
      <c r="Z413" s="1454"/>
      <c r="AA413" s="1454"/>
      <c r="AB413" s="1454"/>
      <c r="AC413" s="1454"/>
      <c r="AD413" s="1454"/>
      <c r="AE413" s="1454"/>
      <c r="AF413" s="1454"/>
      <c r="AG413" s="1454"/>
      <c r="AH413" s="1454"/>
      <c r="AJ413" s="512"/>
    </row>
    <row r="414" spans="1:51" s="308" customFormat="1" ht="14.25" customHeight="1" x14ac:dyDescent="0.25">
      <c r="A414" s="1454" t="s">
        <v>275</v>
      </c>
      <c r="B414" s="1454"/>
      <c r="C414" s="1454"/>
      <c r="D414" s="1454"/>
      <c r="E414" s="1454"/>
      <c r="F414" s="1454"/>
      <c r="G414" s="1454"/>
      <c r="H414" s="1454"/>
      <c r="I414" s="1454"/>
      <c r="J414" s="1454"/>
      <c r="K414" s="1454"/>
      <c r="L414" s="1454"/>
      <c r="M414" s="1454"/>
      <c r="N414" s="1454"/>
      <c r="O414" s="1454"/>
      <c r="P414" s="1454"/>
      <c r="Q414" s="1454"/>
      <c r="R414" s="1454"/>
      <c r="S414" s="1454"/>
      <c r="T414" s="1454"/>
      <c r="U414" s="1454"/>
      <c r="V414" s="1454"/>
      <c r="W414" s="1454"/>
      <c r="X414" s="1454"/>
      <c r="Y414" s="1454"/>
      <c r="Z414" s="1454"/>
      <c r="AA414" s="1454"/>
      <c r="AB414" s="1454"/>
      <c r="AC414" s="1454"/>
      <c r="AD414" s="1454"/>
      <c r="AE414" s="1454"/>
      <c r="AF414" s="1454"/>
      <c r="AG414" s="1454"/>
      <c r="AH414" s="1454"/>
      <c r="AJ414" s="512"/>
    </row>
    <row r="415" spans="1:51" s="308" customFormat="1" ht="11.25" customHeight="1" x14ac:dyDescent="0.25">
      <c r="A415" s="326"/>
      <c r="B415" s="326"/>
      <c r="C415" s="326"/>
      <c r="D415" s="326"/>
      <c r="E415" s="326"/>
      <c r="F415" s="326"/>
      <c r="G415" s="326"/>
      <c r="H415" s="326"/>
      <c r="I415" s="326"/>
      <c r="J415" s="326"/>
      <c r="K415" s="326"/>
      <c r="L415" s="326"/>
      <c r="M415" s="326"/>
      <c r="N415" s="326"/>
      <c r="O415" s="326"/>
      <c r="P415" s="326"/>
      <c r="Q415" s="326"/>
      <c r="R415" s="326"/>
      <c r="S415" s="326"/>
      <c r="T415" s="326"/>
      <c r="U415" s="326"/>
      <c r="V415" s="326"/>
      <c r="W415" s="326"/>
      <c r="X415" s="326"/>
      <c r="Y415" s="326"/>
      <c r="Z415" s="326"/>
      <c r="AA415" s="326"/>
      <c r="AB415" s="326"/>
      <c r="AC415" s="326"/>
      <c r="AD415" s="326"/>
      <c r="AE415" s="326"/>
      <c r="AF415" s="326"/>
      <c r="AG415" s="326"/>
      <c r="AH415" s="326"/>
      <c r="AJ415" s="508"/>
      <c r="AK415" s="307"/>
      <c r="AL415" s="307"/>
      <c r="AM415" s="307"/>
      <c r="AN415" s="307"/>
      <c r="AO415" s="307"/>
      <c r="AP415" s="307"/>
      <c r="AQ415" s="307"/>
      <c r="AR415" s="307"/>
      <c r="AS415" s="307"/>
      <c r="AT415" s="307"/>
      <c r="AU415" s="307"/>
      <c r="AV415" s="307"/>
      <c r="AW415" s="307"/>
      <c r="AX415" s="307"/>
      <c r="AY415" s="307"/>
    </row>
    <row r="416" spans="1:51" s="661" customFormat="1" ht="14.25" customHeight="1" x14ac:dyDescent="0.25">
      <c r="A416" s="1478" t="s">
        <v>276</v>
      </c>
      <c r="B416" s="1478"/>
      <c r="C416" s="1478"/>
      <c r="D416" s="1478"/>
      <c r="E416" s="1478"/>
      <c r="F416" s="1478"/>
      <c r="G416" s="1478"/>
      <c r="H416" s="1478"/>
      <c r="I416" s="1478"/>
      <c r="J416" s="1478"/>
      <c r="K416" s="1478"/>
      <c r="L416" s="1478"/>
      <c r="M416" s="1478"/>
      <c r="N416" s="1478"/>
      <c r="O416" s="1478"/>
      <c r="P416" s="1478"/>
      <c r="Q416" s="1478"/>
      <c r="R416" s="1478"/>
      <c r="S416" s="1478"/>
      <c r="T416" s="1478"/>
      <c r="U416" s="1478"/>
      <c r="V416" s="1478"/>
      <c r="W416" s="1478"/>
      <c r="X416" s="1478"/>
      <c r="Y416" s="1478"/>
      <c r="Z416" s="1478"/>
      <c r="AA416" s="1478"/>
      <c r="AB416" s="1478"/>
      <c r="AC416" s="1478"/>
      <c r="AD416" s="1478"/>
      <c r="AE416" s="1478"/>
      <c r="AF416" s="1478"/>
      <c r="AG416" s="1478"/>
      <c r="AH416" s="1478"/>
      <c r="AJ416" s="662"/>
    </row>
    <row r="417" spans="1:51" s="308" customFormat="1" ht="11.25" customHeight="1" x14ac:dyDescent="0.25">
      <c r="A417" s="326"/>
      <c r="B417" s="326"/>
      <c r="C417" s="326"/>
      <c r="D417" s="326"/>
      <c r="E417" s="326"/>
      <c r="F417" s="326"/>
      <c r="G417" s="326"/>
      <c r="H417" s="326"/>
      <c r="I417" s="326"/>
      <c r="J417" s="326"/>
      <c r="K417" s="326"/>
      <c r="L417" s="326"/>
      <c r="M417" s="326"/>
      <c r="N417" s="326"/>
      <c r="O417" s="326"/>
      <c r="P417" s="326"/>
      <c r="Q417" s="326"/>
      <c r="R417" s="326"/>
      <c r="S417" s="326"/>
      <c r="T417" s="326"/>
      <c r="U417" s="326"/>
      <c r="V417" s="326"/>
      <c r="W417" s="326"/>
      <c r="X417" s="326"/>
      <c r="Y417" s="326"/>
      <c r="Z417" s="326"/>
      <c r="AA417" s="326"/>
      <c r="AB417" s="326"/>
      <c r="AC417" s="326"/>
      <c r="AD417" s="326"/>
      <c r="AE417" s="326"/>
      <c r="AF417" s="326"/>
      <c r="AG417" s="326"/>
      <c r="AH417" s="326"/>
      <c r="AJ417" s="508"/>
      <c r="AK417" s="307"/>
      <c r="AL417" s="307"/>
      <c r="AM417" s="307"/>
      <c r="AN417" s="307"/>
      <c r="AO417" s="307"/>
      <c r="AP417" s="307"/>
      <c r="AQ417" s="307"/>
      <c r="AR417" s="307"/>
      <c r="AS417" s="307"/>
      <c r="AT417" s="307"/>
      <c r="AU417" s="307"/>
      <c r="AV417" s="307"/>
      <c r="AW417" s="307"/>
      <c r="AX417" s="307"/>
      <c r="AY417" s="307"/>
    </row>
    <row r="418" spans="1:51" s="308" customFormat="1" ht="27.75" customHeight="1" x14ac:dyDescent="0.25">
      <c r="A418" s="1454" t="s">
        <v>277</v>
      </c>
      <c r="B418" s="1454"/>
      <c r="C418" s="1454"/>
      <c r="D418" s="1454"/>
      <c r="E418" s="1454"/>
      <c r="F418" s="1454"/>
      <c r="G418" s="1454"/>
      <c r="H418" s="1454"/>
      <c r="I418" s="1454"/>
      <c r="J418" s="1454"/>
      <c r="K418" s="1454"/>
      <c r="L418" s="1454"/>
      <c r="M418" s="1454"/>
      <c r="N418" s="1454"/>
      <c r="O418" s="1454"/>
      <c r="P418" s="1454"/>
      <c r="Q418" s="1454"/>
      <c r="R418" s="1454"/>
      <c r="S418" s="1454"/>
      <c r="T418" s="1454"/>
      <c r="U418" s="1454"/>
      <c r="V418" s="1454"/>
      <c r="W418" s="1454"/>
      <c r="X418" s="1454"/>
      <c r="Y418" s="1454"/>
      <c r="Z418" s="1454"/>
      <c r="AA418" s="1454"/>
      <c r="AB418" s="1454"/>
      <c r="AC418" s="1454"/>
      <c r="AD418" s="1454"/>
      <c r="AE418" s="1454"/>
      <c r="AF418" s="1454"/>
      <c r="AG418" s="1454"/>
      <c r="AH418" s="1454"/>
      <c r="AJ418" s="512"/>
    </row>
    <row r="419" spans="1:51" s="308" customFormat="1" ht="11.25" customHeight="1" x14ac:dyDescent="0.25">
      <c r="A419" s="326"/>
      <c r="B419" s="326"/>
      <c r="C419" s="326"/>
      <c r="D419" s="326"/>
      <c r="E419" s="326"/>
      <c r="F419" s="326"/>
      <c r="G419" s="326"/>
      <c r="H419" s="326"/>
      <c r="I419" s="326"/>
      <c r="J419" s="326"/>
      <c r="K419" s="326"/>
      <c r="L419" s="326"/>
      <c r="M419" s="326"/>
      <c r="N419" s="326"/>
      <c r="O419" s="326"/>
      <c r="P419" s="326"/>
      <c r="Q419" s="326"/>
      <c r="R419" s="326"/>
      <c r="S419" s="326"/>
      <c r="T419" s="326"/>
      <c r="U419" s="326"/>
      <c r="V419" s="326"/>
      <c r="W419" s="326"/>
      <c r="X419" s="326"/>
      <c r="Y419" s="326"/>
      <c r="Z419" s="326"/>
      <c r="AA419" s="326"/>
      <c r="AB419" s="326"/>
      <c r="AC419" s="326"/>
      <c r="AD419" s="326"/>
      <c r="AE419" s="326"/>
      <c r="AF419" s="326"/>
      <c r="AG419" s="326"/>
      <c r="AH419" s="326"/>
      <c r="AJ419" s="508"/>
      <c r="AK419" s="307"/>
      <c r="AL419" s="307"/>
      <c r="AM419" s="307"/>
      <c r="AN419" s="307"/>
      <c r="AO419" s="307"/>
      <c r="AP419" s="307"/>
      <c r="AQ419" s="307"/>
      <c r="AR419" s="307"/>
      <c r="AS419" s="307"/>
      <c r="AT419" s="307"/>
      <c r="AU419" s="307"/>
      <c r="AV419" s="307"/>
      <c r="AW419" s="307"/>
      <c r="AX419" s="307"/>
      <c r="AY419" s="307"/>
    </row>
    <row r="420" spans="1:51" s="308" customFormat="1" ht="11.25" customHeight="1" x14ac:dyDescent="0.25">
      <c r="A420" s="326"/>
      <c r="B420" s="326"/>
      <c r="C420" s="326"/>
      <c r="D420" s="326"/>
      <c r="E420" s="326"/>
      <c r="F420" s="326"/>
      <c r="G420" s="326"/>
      <c r="H420" s="326"/>
      <c r="I420" s="326"/>
      <c r="J420" s="326"/>
      <c r="K420" s="326"/>
      <c r="L420" s="326"/>
      <c r="M420" s="326"/>
      <c r="N420" s="326"/>
      <c r="O420" s="326"/>
      <c r="P420" s="326"/>
      <c r="Q420" s="326"/>
      <c r="R420" s="326"/>
      <c r="S420" s="326"/>
      <c r="T420" s="326"/>
      <c r="U420" s="326"/>
      <c r="V420" s="326"/>
      <c r="W420" s="326"/>
      <c r="X420" s="326"/>
      <c r="Y420" s="326"/>
      <c r="Z420" s="326"/>
      <c r="AA420" s="326"/>
      <c r="AB420" s="326"/>
      <c r="AC420" s="326"/>
      <c r="AD420" s="326"/>
      <c r="AE420" s="326"/>
      <c r="AF420" s="326"/>
      <c r="AG420" s="326"/>
      <c r="AH420" s="326"/>
      <c r="AJ420" s="508"/>
      <c r="AK420" s="307"/>
      <c r="AL420" s="307"/>
      <c r="AM420" s="307"/>
      <c r="AN420" s="307"/>
      <c r="AO420" s="307"/>
      <c r="AP420" s="307"/>
      <c r="AQ420" s="307"/>
      <c r="AR420" s="307"/>
      <c r="AS420" s="307"/>
      <c r="AT420" s="307"/>
      <c r="AU420" s="307"/>
      <c r="AV420" s="307"/>
      <c r="AW420" s="307"/>
      <c r="AX420" s="307"/>
      <c r="AY420" s="307"/>
    </row>
    <row r="421" spans="1:51" s="308" customFormat="1" ht="11.25" customHeight="1" x14ac:dyDescent="0.25">
      <c r="A421" s="326"/>
      <c r="B421" s="326"/>
      <c r="C421" s="326"/>
      <c r="D421" s="326"/>
      <c r="E421" s="326"/>
      <c r="F421" s="326"/>
      <c r="G421" s="326"/>
      <c r="H421" s="326"/>
      <c r="I421" s="326"/>
      <c r="J421" s="326"/>
      <c r="K421" s="326"/>
      <c r="L421" s="326"/>
      <c r="M421" s="326"/>
      <c r="N421" s="326"/>
      <c r="O421" s="326"/>
      <c r="P421" s="326"/>
      <c r="Q421" s="326"/>
      <c r="R421" s="326"/>
      <c r="S421" s="326"/>
      <c r="T421" s="326"/>
      <c r="U421" s="326"/>
      <c r="V421" s="326"/>
      <c r="W421" s="326"/>
      <c r="X421" s="326"/>
      <c r="Y421" s="326"/>
      <c r="Z421" s="326"/>
      <c r="AA421" s="326"/>
      <c r="AB421" s="326"/>
      <c r="AC421" s="326"/>
      <c r="AD421" s="326"/>
      <c r="AE421" s="326"/>
      <c r="AF421" s="326"/>
      <c r="AG421" s="326"/>
      <c r="AH421" s="326"/>
      <c r="AJ421" s="508"/>
      <c r="AK421" s="307"/>
      <c r="AL421" s="307"/>
      <c r="AM421" s="307"/>
      <c r="AN421" s="307"/>
      <c r="AO421" s="307"/>
      <c r="AP421" s="307"/>
      <c r="AQ421" s="307"/>
      <c r="AR421" s="307"/>
      <c r="AS421" s="307"/>
      <c r="AT421" s="307"/>
      <c r="AU421" s="307"/>
      <c r="AV421" s="307"/>
      <c r="AW421" s="307"/>
      <c r="AX421" s="307"/>
      <c r="AY421" s="307"/>
    </row>
    <row r="422" spans="1:51" s="308" customFormat="1" ht="11.25" customHeight="1" x14ac:dyDescent="0.25">
      <c r="A422" s="326"/>
      <c r="B422" s="326"/>
      <c r="C422" s="326"/>
      <c r="D422" s="326"/>
      <c r="E422" s="326"/>
      <c r="F422" s="326"/>
      <c r="G422" s="326"/>
      <c r="H422" s="326"/>
      <c r="I422" s="326"/>
      <c r="J422" s="326"/>
      <c r="K422" s="326"/>
      <c r="L422" s="326"/>
      <c r="M422" s="326"/>
      <c r="N422" s="326"/>
      <c r="O422" s="326"/>
      <c r="P422" s="326"/>
      <c r="Q422" s="326"/>
      <c r="R422" s="326"/>
      <c r="S422" s="326"/>
      <c r="T422" s="326"/>
      <c r="U422" s="326"/>
      <c r="V422" s="326"/>
      <c r="W422" s="326"/>
      <c r="X422" s="326"/>
      <c r="Y422" s="326"/>
      <c r="Z422" s="326"/>
      <c r="AA422" s="326"/>
      <c r="AB422" s="326"/>
      <c r="AC422" s="326"/>
      <c r="AD422" s="326"/>
      <c r="AE422" s="326"/>
      <c r="AF422" s="326"/>
      <c r="AG422" s="326"/>
      <c r="AH422" s="326"/>
      <c r="AJ422" s="508"/>
      <c r="AK422" s="307"/>
      <c r="AL422" s="307"/>
      <c r="AM422" s="307"/>
      <c r="AN422" s="307"/>
      <c r="AO422" s="307"/>
      <c r="AP422" s="307"/>
      <c r="AQ422" s="307"/>
      <c r="AR422" s="307"/>
      <c r="AS422" s="307"/>
      <c r="AT422" s="307"/>
      <c r="AU422" s="307"/>
      <c r="AV422" s="307"/>
      <c r="AW422" s="307"/>
      <c r="AX422" s="307"/>
      <c r="AY422" s="307"/>
    </row>
    <row r="423" spans="1:51" s="308" customFormat="1" ht="11.25" customHeight="1" x14ac:dyDescent="0.25">
      <c r="A423" s="326"/>
      <c r="B423" s="326"/>
      <c r="C423" s="326"/>
      <c r="D423" s="326"/>
      <c r="E423" s="326"/>
      <c r="F423" s="326"/>
      <c r="G423" s="326"/>
      <c r="H423" s="326"/>
      <c r="I423" s="326"/>
      <c r="J423" s="326"/>
      <c r="K423" s="326"/>
      <c r="L423" s="326"/>
      <c r="M423" s="326"/>
      <c r="N423" s="326"/>
      <c r="O423" s="326"/>
      <c r="P423" s="326"/>
      <c r="Q423" s="326"/>
      <c r="R423" s="326"/>
      <c r="S423" s="326"/>
      <c r="T423" s="326"/>
      <c r="U423" s="326"/>
      <c r="V423" s="326"/>
      <c r="W423" s="326"/>
      <c r="X423" s="326"/>
      <c r="Y423" s="326"/>
      <c r="Z423" s="326"/>
      <c r="AA423" s="326"/>
      <c r="AB423" s="326"/>
      <c r="AC423" s="326"/>
      <c r="AD423" s="326"/>
      <c r="AE423" s="326"/>
      <c r="AF423" s="326"/>
      <c r="AG423" s="326"/>
      <c r="AH423" s="326"/>
      <c r="AJ423" s="508"/>
      <c r="AK423" s="307"/>
      <c r="AL423" s="307"/>
      <c r="AM423" s="307"/>
      <c r="AN423" s="307"/>
      <c r="AO423" s="307"/>
      <c r="AP423" s="307"/>
      <c r="AQ423" s="307"/>
      <c r="AR423" s="307"/>
      <c r="AS423" s="307"/>
      <c r="AT423" s="307"/>
      <c r="AU423" s="307"/>
      <c r="AV423" s="307"/>
      <c r="AW423" s="307"/>
      <c r="AX423" s="307"/>
      <c r="AY423" s="307"/>
    </row>
    <row r="424" spans="1:51" s="308" customFormat="1" ht="27.75" customHeight="1" x14ac:dyDescent="0.25">
      <c r="A424" s="1454" t="s">
        <v>278</v>
      </c>
      <c r="B424" s="1454"/>
      <c r="C424" s="1454"/>
      <c r="D424" s="1454"/>
      <c r="E424" s="1454"/>
      <c r="F424" s="1454"/>
      <c r="G424" s="1454"/>
      <c r="H424" s="1454"/>
      <c r="I424" s="1454"/>
      <c r="J424" s="1454"/>
      <c r="K424" s="1454"/>
      <c r="L424" s="1454"/>
      <c r="M424" s="1454"/>
      <c r="N424" s="1454"/>
      <c r="O424" s="1454"/>
      <c r="P424" s="1454"/>
      <c r="Q424" s="1454"/>
      <c r="R424" s="1454"/>
      <c r="S424" s="1454"/>
      <c r="T424" s="1454"/>
      <c r="U424" s="1454"/>
      <c r="V424" s="1454"/>
      <c r="W424" s="1454"/>
      <c r="X424" s="1454"/>
      <c r="Y424" s="1454"/>
      <c r="Z424" s="1454"/>
      <c r="AA424" s="1454"/>
      <c r="AB424" s="1454"/>
      <c r="AC424" s="1454"/>
      <c r="AD424" s="1454"/>
      <c r="AE424" s="1454"/>
      <c r="AF424" s="1454"/>
      <c r="AG424" s="1454"/>
      <c r="AH424" s="1454"/>
      <c r="AJ424" s="512"/>
    </row>
    <row r="425" spans="1:51" s="308" customFormat="1" ht="11.25" customHeight="1" x14ac:dyDescent="0.25">
      <c r="A425" s="326"/>
      <c r="B425" s="326"/>
      <c r="C425" s="326"/>
      <c r="D425" s="326"/>
      <c r="E425" s="326"/>
      <c r="F425" s="326"/>
      <c r="G425" s="326"/>
      <c r="H425" s="326"/>
      <c r="I425" s="326"/>
      <c r="J425" s="326"/>
      <c r="K425" s="326"/>
      <c r="L425" s="326"/>
      <c r="M425" s="326"/>
      <c r="N425" s="326"/>
      <c r="O425" s="326"/>
      <c r="P425" s="326"/>
      <c r="Q425" s="326"/>
      <c r="R425" s="326"/>
      <c r="S425" s="326"/>
      <c r="T425" s="326"/>
      <c r="U425" s="326"/>
      <c r="V425" s="326"/>
      <c r="W425" s="326"/>
      <c r="X425" s="326"/>
      <c r="Y425" s="326"/>
      <c r="Z425" s="326"/>
      <c r="AA425" s="326"/>
      <c r="AB425" s="326"/>
      <c r="AC425" s="326"/>
      <c r="AD425" s="326"/>
      <c r="AE425" s="326"/>
      <c r="AF425" s="326"/>
      <c r="AG425" s="326"/>
      <c r="AH425" s="326"/>
      <c r="AJ425" s="508"/>
      <c r="AK425" s="307"/>
      <c r="AL425" s="307"/>
      <c r="AM425" s="307"/>
      <c r="AN425" s="307"/>
      <c r="AO425" s="307"/>
      <c r="AP425" s="307"/>
      <c r="AQ425" s="307"/>
      <c r="AR425" s="307"/>
      <c r="AS425" s="307"/>
      <c r="AT425" s="307"/>
      <c r="AU425" s="307"/>
      <c r="AV425" s="307"/>
      <c r="AW425" s="307"/>
      <c r="AX425" s="307"/>
      <c r="AY425" s="307"/>
    </row>
    <row r="426" spans="1:51" ht="14.1" customHeight="1" x14ac:dyDescent="0.25">
      <c r="A426" s="1455" t="s">
        <v>279</v>
      </c>
      <c r="B426" s="1455"/>
      <c r="C426" s="1455"/>
      <c r="D426" s="1455"/>
      <c r="E426" s="1455"/>
      <c r="F426" s="1455"/>
      <c r="G426" s="1455"/>
      <c r="H426" s="1455"/>
      <c r="I426" s="1455"/>
      <c r="J426" s="1455"/>
      <c r="K426" s="1455"/>
      <c r="L426" s="1455"/>
      <c r="M426" s="1455"/>
      <c r="N426" s="1455"/>
      <c r="O426" s="1455"/>
      <c r="P426" s="1455"/>
      <c r="Q426" s="1455"/>
      <c r="R426" s="1455"/>
      <c r="S426" s="1455"/>
      <c r="T426" s="1455"/>
      <c r="U426" s="1455"/>
      <c r="V426" s="1455"/>
      <c r="W426" s="1455"/>
      <c r="X426" s="1455"/>
      <c r="Y426" s="1455"/>
      <c r="Z426" s="1455"/>
      <c r="AA426" s="1455"/>
      <c r="AB426" s="1455"/>
      <c r="AC426" s="1455"/>
      <c r="AD426" s="1455"/>
      <c r="AE426" s="1455"/>
      <c r="AF426" s="1455"/>
      <c r="AG426" s="1455"/>
      <c r="AH426" s="1455"/>
      <c r="AJ426" s="652"/>
    </row>
    <row r="427" spans="1:51" s="308" customFormat="1" ht="11.25" customHeight="1" x14ac:dyDescent="0.25">
      <c r="A427" s="326"/>
      <c r="B427" s="326"/>
      <c r="C427" s="326"/>
      <c r="D427" s="326"/>
      <c r="E427" s="326"/>
      <c r="F427" s="326"/>
      <c r="G427" s="326"/>
      <c r="H427" s="326"/>
      <c r="I427" s="326"/>
      <c r="J427" s="326"/>
      <c r="K427" s="326"/>
      <c r="L427" s="326"/>
      <c r="M427" s="326"/>
      <c r="N427" s="326"/>
      <c r="O427" s="326"/>
      <c r="P427" s="326"/>
      <c r="Q427" s="326"/>
      <c r="R427" s="326"/>
      <c r="S427" s="326"/>
      <c r="T427" s="326"/>
      <c r="U427" s="326"/>
      <c r="V427" s="326"/>
      <c r="W427" s="326"/>
      <c r="X427" s="326"/>
      <c r="Y427" s="326"/>
      <c r="Z427" s="326"/>
      <c r="AA427" s="326"/>
      <c r="AB427" s="326"/>
      <c r="AC427" s="326"/>
      <c r="AD427" s="326"/>
      <c r="AE427" s="326"/>
      <c r="AF427" s="326"/>
      <c r="AG427" s="326"/>
      <c r="AH427" s="326"/>
      <c r="AJ427" s="508"/>
      <c r="AK427" s="307"/>
      <c r="AL427" s="307"/>
      <c r="AM427" s="307"/>
      <c r="AN427" s="307"/>
      <c r="AO427" s="307"/>
      <c r="AP427" s="307"/>
      <c r="AQ427" s="307"/>
      <c r="AR427" s="307"/>
      <c r="AS427" s="307"/>
      <c r="AT427" s="307"/>
      <c r="AU427" s="307"/>
      <c r="AV427" s="307"/>
      <c r="AW427" s="307"/>
      <c r="AX427" s="307"/>
      <c r="AY427" s="307"/>
    </row>
    <row r="428" spans="1:51" s="308" customFormat="1" ht="42.75" customHeight="1" x14ac:dyDescent="0.25">
      <c r="A428" s="1454" t="s">
        <v>280</v>
      </c>
      <c r="B428" s="1454"/>
      <c r="C428" s="1454"/>
      <c r="D428" s="1454"/>
      <c r="E428" s="1454"/>
      <c r="F428" s="1454"/>
      <c r="G428" s="1454"/>
      <c r="H428" s="1454"/>
      <c r="I428" s="1454"/>
      <c r="J428" s="1454"/>
      <c r="K428" s="1454"/>
      <c r="L428" s="1454"/>
      <c r="M428" s="1454"/>
      <c r="N428" s="1454"/>
      <c r="O428" s="1454"/>
      <c r="P428" s="1454"/>
      <c r="Q428" s="1454"/>
      <c r="R428" s="1454"/>
      <c r="S428" s="1454"/>
      <c r="T428" s="1454"/>
      <c r="U428" s="1454"/>
      <c r="V428" s="1454"/>
      <c r="W428" s="1454"/>
      <c r="X428" s="1454"/>
      <c r="Y428" s="1454"/>
      <c r="Z428" s="1454"/>
      <c r="AA428" s="1454"/>
      <c r="AB428" s="1454"/>
      <c r="AC428" s="1454"/>
      <c r="AD428" s="1454"/>
      <c r="AE428" s="1454"/>
      <c r="AF428" s="1454"/>
      <c r="AG428" s="1454"/>
      <c r="AH428" s="1454"/>
      <c r="AJ428" s="512"/>
    </row>
    <row r="429" spans="1:51" s="308" customFormat="1" ht="11.25" customHeight="1" x14ac:dyDescent="0.25">
      <c r="A429" s="326"/>
      <c r="B429" s="326"/>
      <c r="C429" s="326"/>
      <c r="D429" s="326"/>
      <c r="E429" s="326"/>
      <c r="F429" s="326"/>
      <c r="G429" s="326"/>
      <c r="H429" s="326"/>
      <c r="I429" s="326"/>
      <c r="J429" s="326"/>
      <c r="K429" s="326"/>
      <c r="L429" s="326"/>
      <c r="M429" s="326"/>
      <c r="N429" s="326"/>
      <c r="O429" s="326"/>
      <c r="P429" s="326"/>
      <c r="Q429" s="326"/>
      <c r="R429" s="326"/>
      <c r="S429" s="326"/>
      <c r="T429" s="326"/>
      <c r="U429" s="326"/>
      <c r="V429" s="326"/>
      <c r="W429" s="326"/>
      <c r="X429" s="326"/>
      <c r="Y429" s="326"/>
      <c r="Z429" s="326"/>
      <c r="AA429" s="326"/>
      <c r="AB429" s="326"/>
      <c r="AC429" s="326"/>
      <c r="AD429" s="326"/>
      <c r="AE429" s="326"/>
      <c r="AF429" s="326"/>
      <c r="AG429" s="326"/>
      <c r="AH429" s="326"/>
      <c r="AJ429" s="508"/>
      <c r="AK429" s="307"/>
      <c r="AL429" s="307"/>
      <c r="AM429" s="307"/>
      <c r="AN429" s="307"/>
      <c r="AO429" s="307"/>
      <c r="AP429" s="307"/>
      <c r="AQ429" s="307"/>
      <c r="AR429" s="307"/>
      <c r="AS429" s="307"/>
      <c r="AT429" s="307"/>
      <c r="AU429" s="307"/>
      <c r="AV429" s="307"/>
      <c r="AW429" s="307"/>
      <c r="AX429" s="307"/>
      <c r="AY429" s="307"/>
    </row>
    <row r="430" spans="1:51" s="305" customFormat="1" ht="12" customHeight="1" x14ac:dyDescent="0.25">
      <c r="A430" s="1455" t="s">
        <v>281</v>
      </c>
      <c r="B430" s="1455"/>
      <c r="C430" s="1455"/>
      <c r="D430" s="1455"/>
      <c r="E430" s="1455"/>
      <c r="F430" s="1455"/>
      <c r="G430" s="1455"/>
      <c r="H430" s="1455"/>
      <c r="I430" s="1455"/>
      <c r="J430" s="1455"/>
      <c r="K430" s="1455"/>
      <c r="L430" s="1455"/>
      <c r="M430" s="1455"/>
      <c r="N430" s="1455"/>
      <c r="O430" s="1455"/>
      <c r="P430" s="1455"/>
      <c r="Q430" s="1455"/>
      <c r="R430" s="1455"/>
      <c r="S430" s="1455"/>
      <c r="T430" s="1455"/>
      <c r="U430" s="1455"/>
      <c r="V430" s="1455"/>
      <c r="W430" s="1455"/>
      <c r="X430" s="1455"/>
      <c r="Y430" s="1455"/>
      <c r="Z430" s="1455"/>
      <c r="AA430" s="1455"/>
      <c r="AB430" s="1455"/>
      <c r="AC430" s="1455"/>
      <c r="AD430" s="1455"/>
      <c r="AE430" s="1455"/>
      <c r="AF430" s="1455"/>
      <c r="AG430" s="1455"/>
      <c r="AH430" s="1455"/>
      <c r="AJ430" s="651"/>
    </row>
    <row r="431" spans="1:51" s="308" customFormat="1" ht="11.25" customHeight="1" x14ac:dyDescent="0.25">
      <c r="A431" s="326"/>
      <c r="B431" s="326"/>
      <c r="C431" s="326"/>
      <c r="D431" s="326"/>
      <c r="E431" s="326"/>
      <c r="F431" s="326"/>
      <c r="G431" s="326"/>
      <c r="H431" s="326"/>
      <c r="I431" s="326"/>
      <c r="J431" s="326"/>
      <c r="K431" s="326"/>
      <c r="L431" s="326"/>
      <c r="M431" s="326"/>
      <c r="N431" s="326"/>
      <c r="O431" s="326"/>
      <c r="P431" s="326"/>
      <c r="Q431" s="326"/>
      <c r="R431" s="326"/>
      <c r="S431" s="326"/>
      <c r="T431" s="326"/>
      <c r="U431" s="326"/>
      <c r="V431" s="326"/>
      <c r="W431" s="326"/>
      <c r="X431" s="326"/>
      <c r="Y431" s="326"/>
      <c r="Z431" s="326"/>
      <c r="AA431" s="326"/>
      <c r="AB431" s="326"/>
      <c r="AC431" s="326"/>
      <c r="AD431" s="326"/>
      <c r="AE431" s="326"/>
      <c r="AF431" s="326"/>
      <c r="AG431" s="326"/>
      <c r="AH431" s="326"/>
      <c r="AJ431" s="508"/>
      <c r="AK431" s="307"/>
      <c r="AL431" s="307"/>
      <c r="AM431" s="307"/>
      <c r="AN431" s="307"/>
      <c r="AO431" s="307"/>
      <c r="AP431" s="307"/>
      <c r="AQ431" s="307"/>
      <c r="AR431" s="307"/>
      <c r="AS431" s="307"/>
      <c r="AT431" s="307"/>
      <c r="AU431" s="307"/>
      <c r="AV431" s="307"/>
      <c r="AW431" s="307"/>
      <c r="AX431" s="307"/>
      <c r="AY431" s="307"/>
    </row>
    <row r="432" spans="1:51" s="308" customFormat="1" ht="14.25" customHeight="1" x14ac:dyDescent="0.25">
      <c r="A432" s="1454" t="s">
        <v>282</v>
      </c>
      <c r="B432" s="1454"/>
      <c r="C432" s="1454"/>
      <c r="D432" s="1454"/>
      <c r="E432" s="1454"/>
      <c r="F432" s="1454"/>
      <c r="G432" s="1454"/>
      <c r="H432" s="1454"/>
      <c r="I432" s="1454"/>
      <c r="J432" s="1454"/>
      <c r="K432" s="1454"/>
      <c r="L432" s="1454"/>
      <c r="M432" s="1454"/>
      <c r="N432" s="1454"/>
      <c r="O432" s="1454"/>
      <c r="P432" s="1454"/>
      <c r="Q432" s="1454"/>
      <c r="R432" s="1454"/>
      <c r="S432" s="1454"/>
      <c r="T432" s="1454"/>
      <c r="U432" s="1454"/>
      <c r="V432" s="1454"/>
      <c r="W432" s="1454"/>
      <c r="X432" s="1454"/>
      <c r="Y432" s="1454"/>
      <c r="Z432" s="1454"/>
      <c r="AA432" s="1454"/>
      <c r="AB432" s="1454"/>
      <c r="AC432" s="1454"/>
      <c r="AD432" s="1454"/>
      <c r="AE432" s="1454"/>
      <c r="AF432" s="1454"/>
      <c r="AG432" s="1454"/>
      <c r="AH432" s="1454"/>
      <c r="AJ432" s="512"/>
    </row>
    <row r="433" spans="1:51" s="308" customFormat="1" ht="14.25" customHeight="1" x14ac:dyDescent="0.25">
      <c r="A433" s="1454" t="s">
        <v>283</v>
      </c>
      <c r="B433" s="1454"/>
      <c r="C433" s="1454"/>
      <c r="D433" s="1454"/>
      <c r="E433" s="1454"/>
      <c r="F433" s="1454"/>
      <c r="G433" s="1454"/>
      <c r="H433" s="1454"/>
      <c r="I433" s="1454"/>
      <c r="J433" s="1454"/>
      <c r="K433" s="1454"/>
      <c r="L433" s="1454"/>
      <c r="M433" s="1454"/>
      <c r="N433" s="1454"/>
      <c r="O433" s="1454"/>
      <c r="P433" s="1454"/>
      <c r="Q433" s="1454"/>
      <c r="R433" s="1454"/>
      <c r="S433" s="1454"/>
      <c r="T433" s="1454"/>
      <c r="U433" s="1454"/>
      <c r="V433" s="1454"/>
      <c r="W433" s="1454"/>
      <c r="X433" s="1454"/>
      <c r="Y433" s="1454"/>
      <c r="Z433" s="1454"/>
      <c r="AA433" s="1454"/>
      <c r="AB433" s="1454"/>
      <c r="AC433" s="1454"/>
      <c r="AD433" s="1454"/>
      <c r="AE433" s="1454"/>
      <c r="AF433" s="1454"/>
      <c r="AG433" s="1454"/>
      <c r="AH433" s="1454"/>
      <c r="AJ433" s="512"/>
    </row>
    <row r="434" spans="1:51" s="308" customFormat="1" ht="14.25" customHeight="1" x14ac:dyDescent="0.25">
      <c r="A434" s="1454" t="s">
        <v>284</v>
      </c>
      <c r="B434" s="1454"/>
      <c r="C434" s="1454"/>
      <c r="D434" s="1454"/>
      <c r="E434" s="1454"/>
      <c r="F434" s="1454"/>
      <c r="G434" s="1454"/>
      <c r="H434" s="1454"/>
      <c r="I434" s="1454"/>
      <c r="J434" s="1454"/>
      <c r="K434" s="1454"/>
      <c r="L434" s="1454"/>
      <c r="M434" s="1454"/>
      <c r="N434" s="1454"/>
      <c r="O434" s="1454"/>
      <c r="P434" s="1454"/>
      <c r="Q434" s="1454"/>
      <c r="R434" s="1454"/>
      <c r="S434" s="1454"/>
      <c r="T434" s="1454"/>
      <c r="U434" s="1454"/>
      <c r="V434" s="1454"/>
      <c r="W434" s="1454"/>
      <c r="X434" s="1454"/>
      <c r="Y434" s="1454"/>
      <c r="Z434" s="1454"/>
      <c r="AA434" s="1454"/>
      <c r="AB434" s="1454"/>
      <c r="AC434" s="1454"/>
      <c r="AD434" s="1454"/>
      <c r="AE434" s="1454"/>
      <c r="AF434" s="1454"/>
      <c r="AG434" s="1454"/>
      <c r="AH434" s="1454"/>
      <c r="AJ434" s="512"/>
    </row>
    <row r="435" spans="1:51" s="308" customFormat="1" ht="27.75" customHeight="1" x14ac:dyDescent="0.25">
      <c r="A435" s="1454" t="s">
        <v>285</v>
      </c>
      <c r="B435" s="1454"/>
      <c r="C435" s="1454"/>
      <c r="D435" s="1454"/>
      <c r="E435" s="1454"/>
      <c r="F435" s="1454"/>
      <c r="G435" s="1454"/>
      <c r="H435" s="1454"/>
      <c r="I435" s="1454"/>
      <c r="J435" s="1454"/>
      <c r="K435" s="1454"/>
      <c r="L435" s="1454"/>
      <c r="M435" s="1454"/>
      <c r="N435" s="1454"/>
      <c r="O435" s="1454"/>
      <c r="P435" s="1454"/>
      <c r="Q435" s="1454"/>
      <c r="R435" s="1454"/>
      <c r="S435" s="1454"/>
      <c r="T435" s="1454"/>
      <c r="U435" s="1454"/>
      <c r="V435" s="1454"/>
      <c r="W435" s="1454"/>
      <c r="X435" s="1454"/>
      <c r="Y435" s="1454"/>
      <c r="Z435" s="1454"/>
      <c r="AA435" s="1454"/>
      <c r="AB435" s="1454"/>
      <c r="AC435" s="1454"/>
      <c r="AD435" s="1454"/>
      <c r="AE435" s="1454"/>
      <c r="AF435" s="1454"/>
      <c r="AG435" s="1454"/>
      <c r="AH435" s="1454"/>
      <c r="AJ435" s="512"/>
    </row>
    <row r="436" spans="1:51" s="308" customFormat="1" ht="14.25" customHeight="1" x14ac:dyDescent="0.25">
      <c r="A436" s="1454" t="s">
        <v>286</v>
      </c>
      <c r="B436" s="1454"/>
      <c r="C436" s="1454"/>
      <c r="D436" s="1454"/>
      <c r="E436" s="1454"/>
      <c r="F436" s="1454"/>
      <c r="G436" s="1454"/>
      <c r="H436" s="1454"/>
      <c r="I436" s="1454"/>
      <c r="J436" s="1454"/>
      <c r="K436" s="1454"/>
      <c r="L436" s="1454"/>
      <c r="M436" s="1454"/>
      <c r="N436" s="1454"/>
      <c r="O436" s="1454"/>
      <c r="P436" s="1454"/>
      <c r="Q436" s="1454"/>
      <c r="R436" s="1454"/>
      <c r="S436" s="1454"/>
      <c r="T436" s="1454"/>
      <c r="U436" s="1454"/>
      <c r="V436" s="1454"/>
      <c r="W436" s="1454"/>
      <c r="X436" s="1454"/>
      <c r="Y436" s="1454"/>
      <c r="Z436" s="1454"/>
      <c r="AA436" s="1454"/>
      <c r="AB436" s="1454"/>
      <c r="AC436" s="1454"/>
      <c r="AD436" s="1454"/>
      <c r="AE436" s="1454"/>
      <c r="AF436" s="1454"/>
      <c r="AG436" s="1454"/>
      <c r="AH436" s="1454"/>
      <c r="AJ436" s="512"/>
    </row>
    <row r="437" spans="1:51" s="308" customFormat="1" ht="11.25" customHeight="1" x14ac:dyDescent="0.25">
      <c r="A437" s="326"/>
      <c r="B437" s="326"/>
      <c r="C437" s="326"/>
      <c r="D437" s="326"/>
      <c r="E437" s="326"/>
      <c r="F437" s="326"/>
      <c r="G437" s="326"/>
      <c r="H437" s="326"/>
      <c r="I437" s="326"/>
      <c r="J437" s="326"/>
      <c r="K437" s="326"/>
      <c r="L437" s="326"/>
      <c r="M437" s="326"/>
      <c r="N437" s="326"/>
      <c r="O437" s="326"/>
      <c r="P437" s="326"/>
      <c r="Q437" s="326"/>
      <c r="R437" s="326"/>
      <c r="S437" s="326"/>
      <c r="T437" s="326"/>
      <c r="U437" s="326"/>
      <c r="V437" s="326"/>
      <c r="W437" s="326"/>
      <c r="X437" s="326"/>
      <c r="Y437" s="326"/>
      <c r="Z437" s="326"/>
      <c r="AA437" s="326"/>
      <c r="AB437" s="326"/>
      <c r="AC437" s="326"/>
      <c r="AD437" s="326"/>
      <c r="AE437" s="326"/>
      <c r="AF437" s="326"/>
      <c r="AG437" s="326"/>
      <c r="AH437" s="326"/>
      <c r="AJ437" s="508"/>
      <c r="AK437" s="307"/>
      <c r="AL437" s="307"/>
      <c r="AM437" s="307"/>
      <c r="AN437" s="307"/>
      <c r="AO437" s="307"/>
      <c r="AP437" s="307"/>
      <c r="AQ437" s="307"/>
      <c r="AR437" s="307"/>
      <c r="AS437" s="307"/>
      <c r="AT437" s="307"/>
      <c r="AU437" s="307"/>
      <c r="AV437" s="307"/>
      <c r="AW437" s="307"/>
      <c r="AX437" s="307"/>
      <c r="AY437" s="307"/>
    </row>
    <row r="438" spans="1:51" s="305" customFormat="1" ht="12" customHeight="1" x14ac:dyDescent="0.25">
      <c r="A438" s="1455" t="s">
        <v>287</v>
      </c>
      <c r="B438" s="1455"/>
      <c r="C438" s="1455"/>
      <c r="D438" s="1455"/>
      <c r="E438" s="1455"/>
      <c r="F438" s="1455"/>
      <c r="G438" s="1455"/>
      <c r="H438" s="1455"/>
      <c r="I438" s="1455"/>
      <c r="J438" s="1455"/>
      <c r="K438" s="1455"/>
      <c r="L438" s="1455"/>
      <c r="M438" s="1455"/>
      <c r="N438" s="1455"/>
      <c r="O438" s="1455"/>
      <c r="P438" s="1455"/>
      <c r="Q438" s="1455"/>
      <c r="R438" s="1455"/>
      <c r="S438" s="1455"/>
      <c r="T438" s="1455"/>
      <c r="U438" s="1455"/>
      <c r="V438" s="1455"/>
      <c r="W438" s="1455"/>
      <c r="X438" s="1455"/>
      <c r="Y438" s="1455"/>
      <c r="Z438" s="1455"/>
      <c r="AA438" s="1455"/>
      <c r="AB438" s="1455"/>
      <c r="AC438" s="1455"/>
      <c r="AD438" s="1455"/>
      <c r="AE438" s="1455"/>
      <c r="AF438" s="1455"/>
      <c r="AG438" s="1455"/>
      <c r="AH438" s="1455"/>
      <c r="AJ438" s="651"/>
    </row>
    <row r="439" spans="1:51" s="308" customFormat="1" ht="11.25" customHeight="1" x14ac:dyDescent="0.25">
      <c r="A439" s="326"/>
      <c r="B439" s="326"/>
      <c r="C439" s="326"/>
      <c r="D439" s="326"/>
      <c r="E439" s="326"/>
      <c r="F439" s="326"/>
      <c r="G439" s="326"/>
      <c r="H439" s="326"/>
      <c r="I439" s="326"/>
      <c r="J439" s="326"/>
      <c r="K439" s="326"/>
      <c r="L439" s="326"/>
      <c r="M439" s="326"/>
      <c r="N439" s="326"/>
      <c r="O439" s="326"/>
      <c r="P439" s="326"/>
      <c r="Q439" s="326"/>
      <c r="R439" s="326"/>
      <c r="S439" s="326"/>
      <c r="T439" s="326"/>
      <c r="U439" s="326"/>
      <c r="V439" s="326"/>
      <c r="W439" s="326"/>
      <c r="X439" s="326"/>
      <c r="Y439" s="326"/>
      <c r="Z439" s="326"/>
      <c r="AA439" s="326"/>
      <c r="AB439" s="326"/>
      <c r="AC439" s="326"/>
      <c r="AD439" s="326"/>
      <c r="AE439" s="326"/>
      <c r="AF439" s="326"/>
      <c r="AG439" s="326"/>
      <c r="AH439" s="326"/>
      <c r="AJ439" s="508"/>
      <c r="AK439" s="307"/>
      <c r="AL439" s="307"/>
      <c r="AM439" s="307"/>
      <c r="AN439" s="307"/>
      <c r="AO439" s="307"/>
      <c r="AP439" s="307"/>
      <c r="AQ439" s="307"/>
      <c r="AR439" s="307"/>
      <c r="AS439" s="307"/>
      <c r="AT439" s="307"/>
      <c r="AU439" s="307"/>
      <c r="AV439" s="307"/>
      <c r="AW439" s="307"/>
      <c r="AX439" s="307"/>
      <c r="AY439" s="307"/>
    </row>
    <row r="440" spans="1:51" s="308" customFormat="1" ht="14.25" customHeight="1" x14ac:dyDescent="0.25">
      <c r="A440" s="1454" t="s">
        <v>288</v>
      </c>
      <c r="B440" s="1454"/>
      <c r="C440" s="1454"/>
      <c r="D440" s="1454"/>
      <c r="E440" s="1454"/>
      <c r="F440" s="1454"/>
      <c r="G440" s="1454"/>
      <c r="H440" s="1454"/>
      <c r="I440" s="1454"/>
      <c r="J440" s="1454"/>
      <c r="K440" s="1454"/>
      <c r="L440" s="1454"/>
      <c r="M440" s="1454"/>
      <c r="N440" s="1454"/>
      <c r="O440" s="1454"/>
      <c r="P440" s="1454"/>
      <c r="Q440" s="1454"/>
      <c r="R440" s="1454"/>
      <c r="S440" s="1454"/>
      <c r="T440" s="1454"/>
      <c r="U440" s="1454"/>
      <c r="V440" s="1454"/>
      <c r="W440" s="1454"/>
      <c r="X440" s="1454"/>
      <c r="Y440" s="1454"/>
      <c r="Z440" s="1454"/>
      <c r="AA440" s="1454"/>
      <c r="AB440" s="1454"/>
      <c r="AC440" s="1454"/>
      <c r="AD440" s="1454"/>
      <c r="AE440" s="1454"/>
      <c r="AF440" s="1454"/>
      <c r="AG440" s="1454"/>
      <c r="AH440" s="1454"/>
      <c r="AJ440" s="512"/>
    </row>
    <row r="441" spans="1:51" ht="19.5" customHeight="1" x14ac:dyDescent="0.25">
      <c r="AJ441" s="652"/>
    </row>
    <row r="442" spans="1:51" s="308" customFormat="1" ht="18" customHeight="1" x14ac:dyDescent="0.25">
      <c r="A442" s="1428" t="s">
        <v>289</v>
      </c>
      <c r="B442" s="1428"/>
      <c r="C442" s="1428"/>
      <c r="D442" s="1428"/>
      <c r="E442" s="1428"/>
      <c r="F442" s="1428"/>
      <c r="G442" s="1428"/>
      <c r="H442" s="1428"/>
      <c r="I442" s="1428"/>
      <c r="J442" s="1428"/>
      <c r="K442" s="1428"/>
      <c r="L442" s="1428"/>
      <c r="M442" s="1428"/>
      <c r="N442" s="1428"/>
      <c r="O442" s="1428"/>
      <c r="P442" s="1428"/>
      <c r="Q442" s="1428"/>
      <c r="R442" s="1428"/>
      <c r="S442" s="1428"/>
      <c r="T442" s="1428"/>
      <c r="U442" s="1428"/>
      <c r="V442" s="1428"/>
      <c r="W442" s="1428"/>
      <c r="X442" s="1428"/>
      <c r="Y442" s="1428"/>
      <c r="Z442" s="1428"/>
      <c r="AA442" s="1428"/>
      <c r="AB442" s="1428"/>
      <c r="AC442" s="1428"/>
      <c r="AD442" s="1428"/>
      <c r="AE442" s="1428"/>
      <c r="AF442" s="1428"/>
      <c r="AG442" s="1428"/>
      <c r="AH442" s="1428"/>
      <c r="AJ442" s="512"/>
    </row>
    <row r="443" spans="1:51" s="308" customFormat="1" ht="11.25" customHeight="1" x14ac:dyDescent="0.25">
      <c r="A443" s="326"/>
      <c r="B443" s="326"/>
      <c r="C443" s="326"/>
      <c r="D443" s="326"/>
      <c r="E443" s="326"/>
      <c r="F443" s="326"/>
      <c r="G443" s="326"/>
      <c r="H443" s="326"/>
      <c r="I443" s="326"/>
      <c r="J443" s="326"/>
      <c r="K443" s="326"/>
      <c r="L443" s="326"/>
      <c r="M443" s="326"/>
      <c r="N443" s="326"/>
      <c r="O443" s="326"/>
      <c r="P443" s="326"/>
      <c r="Q443" s="326"/>
      <c r="R443" s="326"/>
      <c r="S443" s="326"/>
      <c r="T443" s="326"/>
      <c r="U443" s="326"/>
      <c r="V443" s="326"/>
      <c r="W443" s="326"/>
      <c r="X443" s="326"/>
      <c r="Y443" s="326"/>
      <c r="Z443" s="326"/>
      <c r="AA443" s="326"/>
      <c r="AB443" s="326"/>
      <c r="AC443" s="326"/>
      <c r="AD443" s="326"/>
      <c r="AE443" s="326"/>
      <c r="AF443" s="326"/>
      <c r="AG443" s="326"/>
      <c r="AH443" s="326"/>
      <c r="AJ443" s="508"/>
      <c r="AK443" s="307"/>
      <c r="AL443" s="307"/>
      <c r="AM443" s="307"/>
      <c r="AN443" s="307"/>
      <c r="AO443" s="307"/>
      <c r="AP443" s="307"/>
      <c r="AQ443" s="307"/>
      <c r="AR443" s="307"/>
      <c r="AS443" s="307"/>
      <c r="AT443" s="307"/>
      <c r="AU443" s="307"/>
      <c r="AV443" s="307"/>
      <c r="AW443" s="307"/>
      <c r="AX443" s="307"/>
      <c r="AY443" s="307"/>
    </row>
    <row r="444" spans="1:51" s="305" customFormat="1" ht="12" customHeight="1" x14ac:dyDescent="0.25">
      <c r="A444" s="1455" t="s">
        <v>290</v>
      </c>
      <c r="B444" s="1455"/>
      <c r="C444" s="1455"/>
      <c r="D444" s="1455"/>
      <c r="E444" s="1455"/>
      <c r="F444" s="1455"/>
      <c r="G444" s="1455"/>
      <c r="H444" s="1455"/>
      <c r="I444" s="1455"/>
      <c r="J444" s="1455"/>
      <c r="K444" s="1455"/>
      <c r="L444" s="1455"/>
      <c r="M444" s="1455"/>
      <c r="N444" s="1455"/>
      <c r="O444" s="1455"/>
      <c r="P444" s="1455"/>
      <c r="Q444" s="1455"/>
      <c r="R444" s="1455"/>
      <c r="S444" s="1455"/>
      <c r="T444" s="1455"/>
      <c r="U444" s="1455"/>
      <c r="V444" s="1455"/>
      <c r="W444" s="1455"/>
      <c r="X444" s="1455"/>
      <c r="Y444" s="1455"/>
      <c r="Z444" s="1455"/>
      <c r="AA444" s="1455"/>
      <c r="AB444" s="1455"/>
      <c r="AC444" s="1455"/>
      <c r="AD444" s="1455"/>
      <c r="AE444" s="1455"/>
      <c r="AF444" s="1455"/>
      <c r="AG444" s="1455"/>
      <c r="AH444" s="1455"/>
      <c r="AJ444" s="651"/>
    </row>
    <row r="445" spans="1:51" s="308" customFormat="1" ht="11.25" customHeight="1" x14ac:dyDescent="0.25">
      <c r="A445" s="326"/>
      <c r="B445" s="326"/>
      <c r="C445" s="326"/>
      <c r="D445" s="326"/>
      <c r="E445" s="326"/>
      <c r="F445" s="326"/>
      <c r="G445" s="326"/>
      <c r="H445" s="326"/>
      <c r="I445" s="326"/>
      <c r="J445" s="326"/>
      <c r="K445" s="326"/>
      <c r="L445" s="326"/>
      <c r="M445" s="326"/>
      <c r="N445" s="326"/>
      <c r="O445" s="326"/>
      <c r="P445" s="326"/>
      <c r="Q445" s="326"/>
      <c r="R445" s="326"/>
      <c r="S445" s="326"/>
      <c r="T445" s="326"/>
      <c r="U445" s="326"/>
      <c r="V445" s="326"/>
      <c r="W445" s="326"/>
      <c r="X445" s="326"/>
      <c r="Y445" s="326"/>
      <c r="Z445" s="326"/>
      <c r="AA445" s="326"/>
      <c r="AB445" s="326"/>
      <c r="AC445" s="326"/>
      <c r="AD445" s="326"/>
      <c r="AE445" s="326"/>
      <c r="AF445" s="326"/>
      <c r="AG445" s="326"/>
      <c r="AH445" s="326"/>
      <c r="AJ445" s="508"/>
      <c r="AK445" s="307"/>
      <c r="AL445" s="307"/>
      <c r="AM445" s="307"/>
      <c r="AN445" s="307"/>
      <c r="AO445" s="307"/>
      <c r="AP445" s="307"/>
      <c r="AQ445" s="307"/>
      <c r="AR445" s="307"/>
      <c r="AS445" s="307"/>
      <c r="AT445" s="307"/>
      <c r="AU445" s="307"/>
      <c r="AV445" s="307"/>
      <c r="AW445" s="307"/>
      <c r="AX445" s="307"/>
      <c r="AY445" s="307"/>
    </row>
    <row r="446" spans="1:51" s="308" customFormat="1" ht="14.25" customHeight="1" x14ac:dyDescent="0.25">
      <c r="A446" s="1454" t="s">
        <v>291</v>
      </c>
      <c r="B446" s="1454"/>
      <c r="C446" s="1454"/>
      <c r="D446" s="1454"/>
      <c r="E446" s="1454"/>
      <c r="F446" s="1454"/>
      <c r="G446" s="1454"/>
      <c r="H446" s="1454"/>
      <c r="I446" s="1454"/>
      <c r="J446" s="1454"/>
      <c r="K446" s="1454"/>
      <c r="L446" s="1454"/>
      <c r="M446" s="1454"/>
      <c r="N446" s="1454"/>
      <c r="O446" s="1454"/>
      <c r="P446" s="1454"/>
      <c r="Q446" s="1454"/>
      <c r="R446" s="1454"/>
      <c r="S446" s="1454"/>
      <c r="T446" s="1454"/>
      <c r="U446" s="1454"/>
      <c r="V446" s="1454"/>
      <c r="W446" s="1454"/>
      <c r="X446" s="1454"/>
      <c r="Y446" s="1454"/>
      <c r="Z446" s="1454"/>
      <c r="AA446" s="1454"/>
      <c r="AB446" s="1454"/>
      <c r="AC446" s="1454"/>
      <c r="AD446" s="1454"/>
      <c r="AE446" s="1454"/>
      <c r="AF446" s="1454"/>
      <c r="AG446" s="1454"/>
      <c r="AH446" s="1454"/>
      <c r="AJ446" s="512"/>
    </row>
    <row r="447" spans="1:51" s="308" customFormat="1" ht="11.25" customHeight="1" x14ac:dyDescent="0.25">
      <c r="A447" s="326"/>
      <c r="B447" s="326"/>
      <c r="C447" s="326"/>
      <c r="D447" s="326"/>
      <c r="E447" s="326"/>
      <c r="F447" s="326"/>
      <c r="G447" s="326"/>
      <c r="H447" s="326"/>
      <c r="I447" s="326"/>
      <c r="J447" s="326"/>
      <c r="K447" s="326"/>
      <c r="L447" s="326"/>
      <c r="M447" s="326"/>
      <c r="N447" s="326"/>
      <c r="O447" s="326"/>
      <c r="P447" s="326"/>
      <c r="Q447" s="326"/>
      <c r="R447" s="326"/>
      <c r="S447" s="326"/>
      <c r="T447" s="326"/>
      <c r="U447" s="326"/>
      <c r="V447" s="326"/>
      <c r="W447" s="326"/>
      <c r="X447" s="326"/>
      <c r="Y447" s="326"/>
      <c r="Z447" s="326"/>
      <c r="AA447" s="326"/>
      <c r="AB447" s="326"/>
      <c r="AC447" s="326"/>
      <c r="AD447" s="326"/>
      <c r="AE447" s="326"/>
      <c r="AF447" s="326"/>
      <c r="AG447" s="326"/>
      <c r="AH447" s="326"/>
      <c r="AJ447" s="508"/>
      <c r="AK447" s="307"/>
      <c r="AL447" s="307"/>
      <c r="AM447" s="307"/>
      <c r="AN447" s="307"/>
      <c r="AO447" s="307"/>
      <c r="AP447" s="307"/>
      <c r="AQ447" s="307"/>
      <c r="AR447" s="307"/>
      <c r="AS447" s="307"/>
      <c r="AT447" s="307"/>
      <c r="AU447" s="307"/>
      <c r="AV447" s="307"/>
      <c r="AW447" s="307"/>
      <c r="AX447" s="307"/>
      <c r="AY447" s="307"/>
    </row>
    <row r="448" spans="1:51" s="305" customFormat="1" ht="12" customHeight="1" x14ac:dyDescent="0.25">
      <c r="A448" s="1455" t="s">
        <v>292</v>
      </c>
      <c r="B448" s="1455"/>
      <c r="C448" s="1455"/>
      <c r="D448" s="1455"/>
      <c r="E448" s="1455"/>
      <c r="F448" s="1455"/>
      <c r="G448" s="1455"/>
      <c r="H448" s="1455"/>
      <c r="I448" s="1455"/>
      <c r="J448" s="1455"/>
      <c r="K448" s="1455"/>
      <c r="L448" s="1455"/>
      <c r="M448" s="1455"/>
      <c r="N448" s="1455"/>
      <c r="O448" s="1455"/>
      <c r="P448" s="1455"/>
      <c r="Q448" s="1455"/>
      <c r="R448" s="1455"/>
      <c r="S448" s="1455"/>
      <c r="T448" s="1455"/>
      <c r="U448" s="1455"/>
      <c r="V448" s="1455"/>
      <c r="W448" s="1455"/>
      <c r="X448" s="1455"/>
      <c r="Y448" s="1455"/>
      <c r="Z448" s="1455"/>
      <c r="AA448" s="1455"/>
      <c r="AB448" s="1455"/>
      <c r="AC448" s="1455"/>
      <c r="AD448" s="1455"/>
      <c r="AE448" s="1455"/>
      <c r="AF448" s="1455"/>
      <c r="AG448" s="1455"/>
      <c r="AH448" s="1455"/>
      <c r="AJ448" s="651"/>
      <c r="AK448" s="308"/>
      <c r="AL448" s="308"/>
      <c r="AM448" s="308"/>
      <c r="AN448" s="308"/>
      <c r="AO448" s="308"/>
    </row>
    <row r="449" spans="1:51" s="305" customFormat="1" ht="15" customHeight="1" x14ac:dyDescent="0.25">
      <c r="A449" s="327"/>
      <c r="B449" s="327"/>
      <c r="C449" s="327"/>
      <c r="D449" s="327"/>
      <c r="E449" s="327"/>
      <c r="F449" s="327"/>
      <c r="G449" s="1464" t="s">
        <v>293</v>
      </c>
      <c r="H449" s="1465"/>
      <c r="I449" s="1465"/>
      <c r="J449" s="1465"/>
      <c r="K449" s="1465"/>
      <c r="L449" s="1465"/>
      <c r="M449" s="1465"/>
      <c r="N449" s="1465"/>
      <c r="O449" s="1485"/>
      <c r="P449" s="1464" t="s">
        <v>259</v>
      </c>
      <c r="Q449" s="1465"/>
      <c r="R449" s="1465"/>
      <c r="S449" s="1485"/>
      <c r="T449" s="1466" t="s">
        <v>294</v>
      </c>
      <c r="U449" s="1466"/>
      <c r="V449" s="1466"/>
      <c r="W449" s="1466"/>
      <c r="X449" s="1466"/>
      <c r="Y449" s="1466"/>
      <c r="Z449" s="1466"/>
      <c r="AA449" s="1466"/>
      <c r="AB449" s="1466"/>
      <c r="AC449" s="1466"/>
      <c r="AD449" s="327"/>
      <c r="AE449" s="327"/>
      <c r="AF449" s="327"/>
      <c r="AG449" s="327"/>
      <c r="AH449" s="327"/>
      <c r="AJ449" s="651"/>
    </row>
    <row r="450" spans="1:51" s="305" customFormat="1" ht="14.25" customHeight="1" x14ac:dyDescent="0.25">
      <c r="A450" s="327"/>
      <c r="B450" s="327"/>
      <c r="C450" s="327"/>
      <c r="D450" s="327"/>
      <c r="E450" s="327"/>
      <c r="F450" s="327"/>
      <c r="G450" s="1479" t="s">
        <v>295</v>
      </c>
      <c r="H450" s="1480"/>
      <c r="I450" s="1480"/>
      <c r="J450" s="1480"/>
      <c r="K450" s="1480"/>
      <c r="L450" s="1480"/>
      <c r="M450" s="1480"/>
      <c r="N450" s="1480"/>
      <c r="O450" s="1481"/>
      <c r="P450" s="1482">
        <v>1.25</v>
      </c>
      <c r="Q450" s="1483"/>
      <c r="R450" s="1483"/>
      <c r="S450" s="1484"/>
      <c r="T450" s="1420" t="s">
        <v>296</v>
      </c>
      <c r="U450" s="1420"/>
      <c r="V450" s="1420"/>
      <c r="W450" s="1420"/>
      <c r="X450" s="1420"/>
      <c r="Y450" s="1420"/>
      <c r="Z450" s="1420"/>
      <c r="AA450" s="1420"/>
      <c r="AB450" s="1420"/>
      <c r="AC450" s="1420"/>
      <c r="AD450" s="327"/>
      <c r="AE450" s="327"/>
      <c r="AF450" s="327"/>
      <c r="AG450" s="327"/>
      <c r="AH450" s="327"/>
      <c r="AJ450" s="651"/>
    </row>
    <row r="451" spans="1:51" s="305" customFormat="1" ht="14.25" customHeight="1" x14ac:dyDescent="0.25">
      <c r="A451" s="327"/>
      <c r="B451" s="327"/>
      <c r="C451" s="327"/>
      <c r="D451" s="327"/>
      <c r="E451" s="327"/>
      <c r="F451" s="327"/>
      <c r="G451" s="1479" t="s">
        <v>297</v>
      </c>
      <c r="H451" s="1480"/>
      <c r="I451" s="1480"/>
      <c r="J451" s="1480"/>
      <c r="K451" s="1480"/>
      <c r="L451" s="1480"/>
      <c r="M451" s="1480"/>
      <c r="N451" s="1480"/>
      <c r="O451" s="1481"/>
      <c r="P451" s="1482">
        <v>1.25</v>
      </c>
      <c r="Q451" s="1483"/>
      <c r="R451" s="1483"/>
      <c r="S451" s="1484"/>
      <c r="T451" s="1420"/>
      <c r="U451" s="1420"/>
      <c r="V451" s="1420"/>
      <c r="W451" s="1420"/>
      <c r="X451" s="1420"/>
      <c r="Y451" s="1420"/>
      <c r="Z451" s="1420"/>
      <c r="AA451" s="1420"/>
      <c r="AB451" s="1420"/>
      <c r="AC451" s="1420"/>
      <c r="AD451" s="327"/>
      <c r="AE451" s="327"/>
      <c r="AF451" s="327"/>
      <c r="AG451" s="327"/>
      <c r="AH451" s="327"/>
      <c r="AJ451" s="651"/>
    </row>
    <row r="452" spans="1:51" s="305" customFormat="1" ht="14.25" customHeight="1" x14ac:dyDescent="0.25">
      <c r="A452" s="327"/>
      <c r="B452" s="327"/>
      <c r="C452" s="327"/>
      <c r="D452" s="327"/>
      <c r="E452" s="327"/>
      <c r="F452" s="327"/>
      <c r="G452" s="1479" t="s">
        <v>298</v>
      </c>
      <c r="H452" s="1480"/>
      <c r="I452" s="1480"/>
      <c r="J452" s="1480"/>
      <c r="K452" s="1480"/>
      <c r="L452" s="1480"/>
      <c r="M452" s="1480"/>
      <c r="N452" s="1480"/>
      <c r="O452" s="1481"/>
      <c r="P452" s="1482">
        <v>1.4</v>
      </c>
      <c r="Q452" s="1483"/>
      <c r="R452" s="1483"/>
      <c r="S452" s="1484"/>
      <c r="T452" s="1420" t="s">
        <v>299</v>
      </c>
      <c r="U452" s="1420"/>
      <c r="V452" s="1420"/>
      <c r="W452" s="1420"/>
      <c r="X452" s="1420"/>
      <c r="Y452" s="1420"/>
      <c r="Z452" s="1420"/>
      <c r="AA452" s="1420"/>
      <c r="AB452" s="1420"/>
      <c r="AC452" s="1420"/>
      <c r="AD452" s="327"/>
      <c r="AE452" s="327"/>
      <c r="AF452" s="327"/>
      <c r="AG452" s="327"/>
      <c r="AH452" s="327"/>
      <c r="AJ452" s="651"/>
    </row>
    <row r="453" spans="1:51" s="305" customFormat="1" ht="14.25" customHeight="1" x14ac:dyDescent="0.25">
      <c r="A453" s="327"/>
      <c r="B453" s="327"/>
      <c r="C453" s="327"/>
      <c r="D453" s="327"/>
      <c r="E453" s="327"/>
      <c r="F453" s="327"/>
      <c r="G453" s="1479" t="s">
        <v>300</v>
      </c>
      <c r="H453" s="1480"/>
      <c r="I453" s="1480"/>
      <c r="J453" s="1480"/>
      <c r="K453" s="1480"/>
      <c r="L453" s="1480"/>
      <c r="M453" s="1480"/>
      <c r="N453" s="1480"/>
      <c r="O453" s="1481"/>
      <c r="P453" s="1482">
        <v>1.35</v>
      </c>
      <c r="Q453" s="1483"/>
      <c r="R453" s="1483"/>
      <c r="S453" s="1484"/>
      <c r="T453" s="1420">
        <v>460.8</v>
      </c>
      <c r="U453" s="1420"/>
      <c r="V453" s="1420"/>
      <c r="W453" s="1420"/>
      <c r="X453" s="1420"/>
      <c r="Y453" s="1420"/>
      <c r="Z453" s="1420"/>
      <c r="AA453" s="1420"/>
      <c r="AB453" s="1420"/>
      <c r="AC453" s="1420"/>
      <c r="AD453" s="327"/>
      <c r="AE453" s="327"/>
      <c r="AF453" s="327"/>
      <c r="AG453" s="327"/>
      <c r="AH453" s="327"/>
      <c r="AJ453" s="651"/>
    </row>
    <row r="454" spans="1:51" s="305" customFormat="1" ht="14.25" customHeight="1" x14ac:dyDescent="0.25">
      <c r="A454" s="327"/>
      <c r="B454" s="327"/>
      <c r="C454" s="327"/>
      <c r="D454" s="327"/>
      <c r="E454" s="327"/>
      <c r="F454" s="327"/>
      <c r="G454" s="1479" t="s">
        <v>301</v>
      </c>
      <c r="H454" s="1480"/>
      <c r="I454" s="1480"/>
      <c r="J454" s="1480"/>
      <c r="K454" s="1480"/>
      <c r="L454" s="1480"/>
      <c r="M454" s="1480"/>
      <c r="N454" s="1480"/>
      <c r="O454" s="1481"/>
      <c r="P454" s="1482" t="s">
        <v>302</v>
      </c>
      <c r="Q454" s="1483"/>
      <c r="R454" s="1483"/>
      <c r="S454" s="1484"/>
      <c r="T454" s="1421" t="s">
        <v>303</v>
      </c>
      <c r="U454" s="1421"/>
      <c r="V454" s="1421"/>
      <c r="W454" s="1421"/>
      <c r="X454" s="1421"/>
      <c r="Y454" s="1421"/>
      <c r="Z454" s="1421"/>
      <c r="AA454" s="1421"/>
      <c r="AB454" s="1421"/>
      <c r="AC454" s="1421"/>
      <c r="AD454" s="327"/>
      <c r="AE454" s="327"/>
      <c r="AF454" s="327"/>
      <c r="AG454" s="327"/>
      <c r="AH454" s="327"/>
      <c r="AJ454" s="651"/>
    </row>
    <row r="455" spans="1:51" s="305" customFormat="1" ht="14.25" customHeight="1" x14ac:dyDescent="0.25">
      <c r="A455" s="327"/>
      <c r="B455" s="327"/>
      <c r="C455" s="327"/>
      <c r="D455" s="327"/>
      <c r="E455" s="327"/>
      <c r="F455" s="327"/>
      <c r="G455" s="1479" t="s">
        <v>304</v>
      </c>
      <c r="H455" s="1480"/>
      <c r="I455" s="1480"/>
      <c r="J455" s="1480"/>
      <c r="K455" s="1480"/>
      <c r="L455" s="1480"/>
      <c r="M455" s="1480"/>
      <c r="N455" s="1480"/>
      <c r="O455" s="1481"/>
      <c r="P455" s="1482">
        <v>1.25</v>
      </c>
      <c r="Q455" s="1483"/>
      <c r="R455" s="1483"/>
      <c r="S455" s="1484"/>
      <c r="T455" s="1421"/>
      <c r="U455" s="1421"/>
      <c r="V455" s="1421"/>
      <c r="W455" s="1421"/>
      <c r="X455" s="1421"/>
      <c r="Y455" s="1421"/>
      <c r="Z455" s="1421"/>
      <c r="AA455" s="1421"/>
      <c r="AB455" s="1421"/>
      <c r="AC455" s="1421"/>
      <c r="AD455" s="327"/>
      <c r="AE455" s="327"/>
      <c r="AF455" s="327"/>
      <c r="AG455" s="327"/>
      <c r="AH455" s="327"/>
      <c r="AJ455" s="651"/>
    </row>
    <row r="456" spans="1:51" s="305" customFormat="1" ht="14.25" customHeight="1" x14ac:dyDescent="0.25">
      <c r="A456" s="327"/>
      <c r="B456" s="327"/>
      <c r="C456" s="327"/>
      <c r="D456" s="327"/>
      <c r="E456" s="327"/>
      <c r="F456" s="327"/>
      <c r="G456" s="1479" t="s">
        <v>305</v>
      </c>
      <c r="H456" s="1480"/>
      <c r="I456" s="1480"/>
      <c r="J456" s="1480"/>
      <c r="K456" s="1480"/>
      <c r="L456" s="1480"/>
      <c r="M456" s="1480"/>
      <c r="N456" s="1480"/>
      <c r="O456" s="1481"/>
      <c r="P456" s="1482">
        <v>1.25</v>
      </c>
      <c r="Q456" s="1483"/>
      <c r="R456" s="1483"/>
      <c r="S456" s="1484"/>
      <c r="T456" s="1420" t="s">
        <v>306</v>
      </c>
      <c r="U456" s="1420"/>
      <c r="V456" s="1420"/>
      <c r="W456" s="1420"/>
      <c r="X456" s="1420"/>
      <c r="Y456" s="1420"/>
      <c r="Z456" s="1420"/>
      <c r="AA456" s="1420"/>
      <c r="AB456" s="1420"/>
      <c r="AC456" s="1420"/>
      <c r="AD456" s="327"/>
      <c r="AE456" s="327"/>
      <c r="AF456" s="327"/>
      <c r="AG456" s="327"/>
      <c r="AH456" s="327"/>
      <c r="AJ456" s="651"/>
    </row>
    <row r="457" spans="1:51" s="305" customFormat="1" ht="14.25" customHeight="1" x14ac:dyDescent="0.25">
      <c r="A457" s="327"/>
      <c r="B457" s="327"/>
      <c r="C457" s="327"/>
      <c r="D457" s="327"/>
      <c r="E457" s="327"/>
      <c r="F457" s="327"/>
      <c r="G457" s="1479" t="s">
        <v>307</v>
      </c>
      <c r="H457" s="1480"/>
      <c r="I457" s="1480"/>
      <c r="J457" s="1480"/>
      <c r="K457" s="1480"/>
      <c r="L457" s="1480"/>
      <c r="M457" s="1480"/>
      <c r="N457" s="1480"/>
      <c r="O457" s="1481"/>
      <c r="P457" s="1482">
        <v>1.25</v>
      </c>
      <c r="Q457" s="1483"/>
      <c r="R457" s="1483"/>
      <c r="S457" s="1484"/>
      <c r="T457" s="1420" t="s">
        <v>306</v>
      </c>
      <c r="U457" s="1420"/>
      <c r="V457" s="1420"/>
      <c r="W457" s="1420"/>
      <c r="X457" s="1420"/>
      <c r="Y457" s="1420"/>
      <c r="Z457" s="1420"/>
      <c r="AA457" s="1420"/>
      <c r="AB457" s="1420"/>
      <c r="AC457" s="1420"/>
      <c r="AD457" s="327"/>
      <c r="AE457" s="327"/>
      <c r="AF457" s="327"/>
      <c r="AG457" s="327"/>
      <c r="AH457" s="327"/>
      <c r="AJ457" s="651"/>
    </row>
    <row r="458" spans="1:51" s="305" customFormat="1" ht="14.25" customHeight="1" x14ac:dyDescent="0.25">
      <c r="A458" s="327"/>
      <c r="B458" s="327"/>
      <c r="C458" s="327"/>
      <c r="D458" s="327"/>
      <c r="E458" s="327"/>
      <c r="F458" s="327"/>
      <c r="G458" s="1479" t="s">
        <v>308</v>
      </c>
      <c r="H458" s="1480"/>
      <c r="I458" s="1480"/>
      <c r="J458" s="1480"/>
      <c r="K458" s="1480"/>
      <c r="L458" s="1480"/>
      <c r="M458" s="1480"/>
      <c r="N458" s="1480"/>
      <c r="O458" s="1481"/>
      <c r="P458" s="1482">
        <v>1.25</v>
      </c>
      <c r="Q458" s="1483"/>
      <c r="R458" s="1483"/>
      <c r="S458" s="1484"/>
      <c r="T458" s="1420" t="s">
        <v>309</v>
      </c>
      <c r="U458" s="1420"/>
      <c r="V458" s="1420"/>
      <c r="W458" s="1420"/>
      <c r="X458" s="1420"/>
      <c r="Y458" s="1420"/>
      <c r="Z458" s="1420"/>
      <c r="AA458" s="1420"/>
      <c r="AB458" s="1420"/>
      <c r="AC458" s="1420"/>
      <c r="AD458" s="327"/>
      <c r="AE458" s="327"/>
      <c r="AF458" s="327"/>
      <c r="AG458" s="327"/>
      <c r="AH458" s="327"/>
      <c r="AJ458" s="651"/>
    </row>
    <row r="459" spans="1:51" s="305" customFormat="1" ht="14.25" customHeight="1" x14ac:dyDescent="0.25">
      <c r="A459" s="327"/>
      <c r="B459" s="327"/>
      <c r="C459" s="327"/>
      <c r="D459" s="327"/>
      <c r="E459" s="327"/>
      <c r="F459" s="327"/>
      <c r="G459" s="1479" t="s">
        <v>310</v>
      </c>
      <c r="H459" s="1480"/>
      <c r="I459" s="1480"/>
      <c r="J459" s="1480"/>
      <c r="K459" s="1480"/>
      <c r="L459" s="1480"/>
      <c r="M459" s="1480"/>
      <c r="N459" s="1480"/>
      <c r="O459" s="1481"/>
      <c r="P459" s="1482">
        <v>1.3</v>
      </c>
      <c r="Q459" s="1483"/>
      <c r="R459" s="1483"/>
      <c r="S459" s="1484"/>
      <c r="T459" s="1420">
        <v>645.11</v>
      </c>
      <c r="U459" s="1420"/>
      <c r="V459" s="1420"/>
      <c r="W459" s="1420"/>
      <c r="X459" s="1420"/>
      <c r="Y459" s="1420"/>
      <c r="Z459" s="1420"/>
      <c r="AA459" s="1420"/>
      <c r="AB459" s="1420"/>
      <c r="AC459" s="1420"/>
      <c r="AD459" s="327"/>
      <c r="AE459" s="327"/>
      <c r="AF459" s="327"/>
      <c r="AG459" s="327"/>
      <c r="AH459" s="327"/>
      <c r="AJ459" s="651"/>
    </row>
    <row r="460" spans="1:51" ht="19.5" customHeight="1" x14ac:dyDescent="0.25">
      <c r="AJ460" s="652"/>
    </row>
    <row r="461" spans="1:51" s="308" customFormat="1" ht="18" customHeight="1" x14ac:dyDescent="0.25">
      <c r="A461" s="1428" t="s">
        <v>311</v>
      </c>
      <c r="B461" s="1428"/>
      <c r="C461" s="1428"/>
      <c r="D461" s="1428"/>
      <c r="E461" s="1428"/>
      <c r="F461" s="1428"/>
      <c r="G461" s="1428"/>
      <c r="H461" s="1428"/>
      <c r="I461" s="1428"/>
      <c r="J461" s="1428"/>
      <c r="K461" s="1428"/>
      <c r="L461" s="1428"/>
      <c r="M461" s="1428"/>
      <c r="N461" s="1428"/>
      <c r="O461" s="1428"/>
      <c r="P461" s="1428"/>
      <c r="Q461" s="1428"/>
      <c r="R461" s="1428"/>
      <c r="S461" s="1428"/>
      <c r="T461" s="1428"/>
      <c r="U461" s="1428"/>
      <c r="V461" s="1428"/>
      <c r="W461" s="1428"/>
      <c r="X461" s="1428"/>
      <c r="Y461" s="1428"/>
      <c r="Z461" s="1428"/>
      <c r="AA461" s="1428"/>
      <c r="AB461" s="1428"/>
      <c r="AC461" s="1428"/>
      <c r="AD461" s="1428"/>
      <c r="AE461" s="1428"/>
      <c r="AF461" s="1428"/>
      <c r="AG461" s="1428"/>
      <c r="AH461" s="1428"/>
      <c r="AJ461" s="512"/>
    </row>
    <row r="462" spans="1:51" s="308" customFormat="1" ht="11.25" customHeight="1" x14ac:dyDescent="0.25">
      <c r="A462" s="326"/>
      <c r="B462" s="326"/>
      <c r="C462" s="326"/>
      <c r="D462" s="326"/>
      <c r="E462" s="326"/>
      <c r="F462" s="326"/>
      <c r="G462" s="326"/>
      <c r="H462" s="326"/>
      <c r="I462" s="326"/>
      <c r="J462" s="326"/>
      <c r="K462" s="326"/>
      <c r="L462" s="326"/>
      <c r="M462" s="326"/>
      <c r="N462" s="326"/>
      <c r="O462" s="326"/>
      <c r="P462" s="326"/>
      <c r="Q462" s="326"/>
      <c r="R462" s="326"/>
      <c r="S462" s="326"/>
      <c r="T462" s="326"/>
      <c r="U462" s="326"/>
      <c r="V462" s="326"/>
      <c r="W462" s="326"/>
      <c r="X462" s="326"/>
      <c r="Y462" s="326"/>
      <c r="Z462" s="326"/>
      <c r="AA462" s="326"/>
      <c r="AB462" s="326"/>
      <c r="AC462" s="326"/>
      <c r="AD462" s="326"/>
      <c r="AE462" s="326"/>
      <c r="AF462" s="326"/>
      <c r="AG462" s="326"/>
      <c r="AH462" s="326"/>
      <c r="AJ462" s="508"/>
      <c r="AK462" s="307"/>
      <c r="AL462" s="307"/>
      <c r="AM462" s="307"/>
      <c r="AN462" s="307"/>
      <c r="AO462" s="307"/>
      <c r="AP462" s="307"/>
      <c r="AQ462" s="307"/>
      <c r="AR462" s="307"/>
      <c r="AS462" s="307"/>
      <c r="AT462" s="307"/>
      <c r="AU462" s="307"/>
      <c r="AV462" s="307"/>
      <c r="AW462" s="307"/>
      <c r="AX462" s="307"/>
      <c r="AY462" s="307"/>
    </row>
    <row r="463" spans="1:51" s="308" customFormat="1" ht="83.25" customHeight="1" x14ac:dyDescent="0.25">
      <c r="A463" s="1454" t="s">
        <v>312</v>
      </c>
      <c r="B463" s="1454"/>
      <c r="C463" s="1454"/>
      <c r="D463" s="1454"/>
      <c r="E463" s="1454"/>
      <c r="F463" s="1454"/>
      <c r="G463" s="1454"/>
      <c r="H463" s="1454"/>
      <c r="I463" s="1454"/>
      <c r="J463" s="1454"/>
      <c r="K463" s="1454"/>
      <c r="L463" s="1454"/>
      <c r="M463" s="1454"/>
      <c r="N463" s="1454"/>
      <c r="O463" s="1454"/>
      <c r="P463" s="1454"/>
      <c r="Q463" s="1454"/>
      <c r="R463" s="1454"/>
      <c r="S463" s="1454"/>
      <c r="T463" s="1454"/>
      <c r="U463" s="1454"/>
      <c r="V463" s="1454"/>
      <c r="W463" s="1454"/>
      <c r="X463" s="1454"/>
      <c r="Y463" s="1454"/>
      <c r="Z463" s="1454"/>
      <c r="AA463" s="1454"/>
      <c r="AB463" s="1454"/>
      <c r="AC463" s="1454"/>
      <c r="AD463" s="1454"/>
      <c r="AE463" s="1454"/>
      <c r="AF463" s="1454"/>
      <c r="AG463" s="1454"/>
      <c r="AH463" s="1454"/>
      <c r="AJ463" s="512"/>
    </row>
    <row r="464" spans="1:51" s="308" customFormat="1" ht="11.25" customHeight="1" x14ac:dyDescent="0.25">
      <c r="A464" s="326"/>
      <c r="B464" s="326"/>
      <c r="C464" s="326"/>
      <c r="D464" s="326"/>
      <c r="E464" s="326"/>
      <c r="F464" s="326"/>
      <c r="G464" s="326"/>
      <c r="H464" s="326"/>
      <c r="I464" s="326"/>
      <c r="J464" s="326"/>
      <c r="K464" s="326"/>
      <c r="L464" s="326"/>
      <c r="M464" s="326"/>
      <c r="N464" s="326"/>
      <c r="O464" s="326"/>
      <c r="P464" s="326"/>
      <c r="Q464" s="326"/>
      <c r="R464" s="326"/>
      <c r="S464" s="326"/>
      <c r="T464" s="326"/>
      <c r="U464" s="326"/>
      <c r="V464" s="326"/>
      <c r="W464" s="326"/>
      <c r="X464" s="326"/>
      <c r="Y464" s="326"/>
      <c r="Z464" s="326"/>
      <c r="AA464" s="326"/>
      <c r="AB464" s="326"/>
      <c r="AC464" s="326"/>
      <c r="AD464" s="326"/>
      <c r="AE464" s="326"/>
      <c r="AF464" s="326"/>
      <c r="AG464" s="326"/>
      <c r="AH464" s="326"/>
      <c r="AJ464" s="508"/>
      <c r="AK464" s="307"/>
      <c r="AL464" s="307"/>
      <c r="AM464" s="307"/>
      <c r="AN464" s="307"/>
      <c r="AO464" s="307"/>
      <c r="AP464" s="307"/>
      <c r="AQ464" s="307"/>
      <c r="AR464" s="307"/>
      <c r="AS464" s="307"/>
      <c r="AT464" s="307"/>
      <c r="AU464" s="307"/>
      <c r="AV464" s="307"/>
      <c r="AW464" s="307"/>
      <c r="AX464" s="307"/>
      <c r="AY464" s="307"/>
    </row>
    <row r="465" spans="1:51" s="308" customFormat="1" ht="11.25" customHeight="1" x14ac:dyDescent="0.25">
      <c r="A465" s="326"/>
      <c r="B465" s="326"/>
      <c r="C465" s="326"/>
      <c r="D465" s="326"/>
      <c r="E465" s="326"/>
      <c r="F465" s="326"/>
      <c r="G465" s="326"/>
      <c r="H465" s="326"/>
      <c r="I465" s="326"/>
      <c r="J465" s="326"/>
      <c r="K465" s="326"/>
      <c r="L465" s="326"/>
      <c r="M465" s="326"/>
      <c r="N465" s="326"/>
      <c r="O465" s="326"/>
      <c r="P465" s="326"/>
      <c r="Q465" s="326"/>
      <c r="R465" s="326"/>
      <c r="S465" s="326"/>
      <c r="T465" s="326"/>
      <c r="U465" s="326"/>
      <c r="V465" s="326"/>
      <c r="W465" s="326"/>
      <c r="X465" s="326"/>
      <c r="Y465" s="326"/>
      <c r="Z465" s="326"/>
      <c r="AA465" s="326"/>
      <c r="AB465" s="326"/>
      <c r="AC465" s="326"/>
      <c r="AD465" s="326"/>
      <c r="AE465" s="326"/>
      <c r="AF465" s="326"/>
      <c r="AG465" s="326"/>
      <c r="AH465" s="326"/>
      <c r="AJ465" s="508"/>
      <c r="AK465" s="307"/>
      <c r="AL465" s="307"/>
      <c r="AM465" s="307"/>
      <c r="AN465" s="307"/>
      <c r="AO465" s="307"/>
      <c r="AP465" s="307"/>
      <c r="AQ465" s="307"/>
      <c r="AR465" s="307"/>
      <c r="AS465" s="307"/>
      <c r="AT465" s="307"/>
      <c r="AU465" s="307"/>
      <c r="AV465" s="307"/>
      <c r="AW465" s="307"/>
      <c r="AX465" s="307"/>
      <c r="AY465" s="307"/>
    </row>
    <row r="466" spans="1:51" s="305" customFormat="1" ht="15" customHeight="1" x14ac:dyDescent="0.25">
      <c r="A466" s="1455" t="s">
        <v>313</v>
      </c>
      <c r="B466" s="1455"/>
      <c r="C466" s="1455"/>
      <c r="D466" s="1455"/>
      <c r="E466" s="1455"/>
      <c r="F466" s="1455"/>
      <c r="G466" s="1455"/>
      <c r="H466" s="1455"/>
      <c r="I466" s="1455"/>
      <c r="J466" s="1455"/>
      <c r="K466" s="1455"/>
      <c r="L466" s="1455"/>
      <c r="M466" s="1455"/>
      <c r="N466" s="1455"/>
      <c r="O466" s="1455"/>
      <c r="P466" s="1455"/>
      <c r="Q466" s="1455"/>
      <c r="R466" s="1455"/>
      <c r="S466" s="1455"/>
      <c r="T466" s="1455"/>
      <c r="U466" s="1455"/>
      <c r="V466" s="1455"/>
      <c r="W466" s="1455"/>
      <c r="X466" s="1455"/>
      <c r="Y466" s="1455"/>
      <c r="Z466" s="1455"/>
      <c r="AA466" s="1455"/>
      <c r="AB466" s="1455"/>
      <c r="AC466" s="1455"/>
      <c r="AD466" s="1455"/>
      <c r="AE466" s="1455"/>
      <c r="AF466" s="1455"/>
      <c r="AG466" s="1455"/>
      <c r="AH466" s="1455"/>
      <c r="AJ466" s="651"/>
    </row>
    <row r="467" spans="1:51" s="308" customFormat="1" ht="11.25" customHeight="1" x14ac:dyDescent="0.25">
      <c r="A467" s="326"/>
      <c r="B467" s="326"/>
      <c r="C467" s="326"/>
      <c r="D467" s="326"/>
      <c r="E467" s="326"/>
      <c r="F467" s="326"/>
      <c r="G467" s="326"/>
      <c r="H467" s="326"/>
      <c r="I467" s="326"/>
      <c r="J467" s="326"/>
      <c r="K467" s="326"/>
      <c r="L467" s="326"/>
      <c r="M467" s="326"/>
      <c r="N467" s="326"/>
      <c r="O467" s="326"/>
      <c r="P467" s="326"/>
      <c r="Q467" s="326"/>
      <c r="R467" s="326"/>
      <c r="S467" s="326"/>
      <c r="T467" s="326"/>
      <c r="U467" s="326"/>
      <c r="V467" s="326"/>
      <c r="W467" s="326"/>
      <c r="X467" s="326"/>
      <c r="Y467" s="326"/>
      <c r="Z467" s="326"/>
      <c r="AA467" s="326"/>
      <c r="AB467" s="326"/>
      <c r="AC467" s="326"/>
      <c r="AD467" s="326"/>
      <c r="AE467" s="326"/>
      <c r="AF467" s="326"/>
      <c r="AG467" s="326"/>
      <c r="AH467" s="326"/>
      <c r="AJ467" s="508"/>
      <c r="AK467" s="307"/>
      <c r="AL467" s="307"/>
      <c r="AM467" s="307"/>
      <c r="AN467" s="307"/>
      <c r="AO467" s="307"/>
      <c r="AP467" s="307"/>
      <c r="AQ467" s="307"/>
      <c r="AR467" s="307"/>
      <c r="AS467" s="307"/>
      <c r="AT467" s="307"/>
      <c r="AU467" s="307"/>
      <c r="AV467" s="307"/>
      <c r="AW467" s="307"/>
      <c r="AX467" s="307"/>
      <c r="AY467" s="307"/>
    </row>
    <row r="468" spans="1:51" s="308" customFormat="1" ht="55.5" customHeight="1" x14ac:dyDescent="0.25">
      <c r="A468" s="1454" t="s">
        <v>314</v>
      </c>
      <c r="B468" s="1454"/>
      <c r="C468" s="1454"/>
      <c r="D468" s="1454"/>
      <c r="E468" s="1454"/>
      <c r="F468" s="1454"/>
      <c r="G468" s="1454"/>
      <c r="H468" s="1454"/>
      <c r="I468" s="1454"/>
      <c r="J468" s="1454"/>
      <c r="K468" s="1454"/>
      <c r="L468" s="1454"/>
      <c r="M468" s="1454"/>
      <c r="N468" s="1454"/>
      <c r="O468" s="1454"/>
      <c r="P468" s="1454"/>
      <c r="Q468" s="1454"/>
      <c r="R468" s="1454"/>
      <c r="S468" s="1454"/>
      <c r="T468" s="1454"/>
      <c r="U468" s="1454"/>
      <c r="V468" s="1454"/>
      <c r="W468" s="1454"/>
      <c r="X468" s="1454"/>
      <c r="Y468" s="1454"/>
      <c r="Z468" s="1454"/>
      <c r="AA468" s="1454"/>
      <c r="AB468" s="1454"/>
      <c r="AC468" s="1454"/>
      <c r="AD468" s="1454"/>
      <c r="AE468" s="1454"/>
      <c r="AF468" s="1454"/>
      <c r="AG468" s="1454"/>
      <c r="AH468" s="1454"/>
      <c r="AJ468" s="512"/>
    </row>
    <row r="469" spans="1:51" s="308" customFormat="1" ht="11.25" customHeight="1" x14ac:dyDescent="0.25">
      <c r="A469" s="326"/>
      <c r="B469" s="326"/>
      <c r="C469" s="326"/>
      <c r="D469" s="326"/>
      <c r="E469" s="326"/>
      <c r="F469" s="326"/>
      <c r="G469" s="326"/>
      <c r="H469" s="326"/>
      <c r="I469" s="326"/>
      <c r="J469" s="326"/>
      <c r="K469" s="326"/>
      <c r="L469" s="326"/>
      <c r="M469" s="326"/>
      <c r="N469" s="326"/>
      <c r="O469" s="326"/>
      <c r="P469" s="326"/>
      <c r="Q469" s="326"/>
      <c r="R469" s="326"/>
      <c r="S469" s="326"/>
      <c r="T469" s="326"/>
      <c r="U469" s="326"/>
      <c r="V469" s="326"/>
      <c r="W469" s="326"/>
      <c r="X469" s="326"/>
      <c r="Y469" s="326"/>
      <c r="Z469" s="326"/>
      <c r="AA469" s="326"/>
      <c r="AB469" s="326"/>
      <c r="AC469" s="326"/>
      <c r="AD469" s="326"/>
      <c r="AE469" s="326"/>
      <c r="AF469" s="326"/>
      <c r="AG469" s="326"/>
      <c r="AH469" s="326"/>
      <c r="AJ469" s="508"/>
      <c r="AK469" s="307"/>
      <c r="AL469" s="307"/>
      <c r="AM469" s="307"/>
      <c r="AN469" s="307"/>
      <c r="AO469" s="307"/>
      <c r="AP469" s="307"/>
      <c r="AQ469" s="307"/>
      <c r="AR469" s="307"/>
      <c r="AS469" s="307"/>
      <c r="AT469" s="307"/>
      <c r="AU469" s="307"/>
      <c r="AV469" s="307"/>
      <c r="AW469" s="307"/>
      <c r="AX469" s="307"/>
      <c r="AY469" s="307"/>
    </row>
    <row r="470" spans="1:51" s="305" customFormat="1" ht="15.75" customHeight="1" x14ac:dyDescent="0.25">
      <c r="A470" s="327"/>
      <c r="B470" s="327"/>
      <c r="C470" s="327"/>
      <c r="D470" s="327"/>
      <c r="E470" s="327"/>
      <c r="F470" s="327"/>
      <c r="G470" s="327"/>
      <c r="H470" s="327"/>
      <c r="I470" s="327"/>
      <c r="J470" s="327"/>
      <c r="K470" s="327"/>
      <c r="L470" s="327"/>
      <c r="M470" s="327"/>
      <c r="N470" s="327"/>
      <c r="O470" s="327"/>
      <c r="P470" s="327"/>
      <c r="Q470" s="327"/>
      <c r="R470" s="327"/>
      <c r="S470" s="327"/>
      <c r="T470" s="327"/>
      <c r="U470" s="327"/>
      <c r="V470" s="327"/>
      <c r="W470" s="327"/>
      <c r="X470" s="327"/>
      <c r="Y470" s="1471" t="s">
        <v>315</v>
      </c>
      <c r="Z470" s="1471"/>
      <c r="AA470" s="327"/>
      <c r="AB470" s="327"/>
      <c r="AC470" s="327"/>
      <c r="AD470" s="327"/>
      <c r="AE470" s="327"/>
      <c r="AF470" s="327"/>
      <c r="AG470" s="327"/>
      <c r="AH470" s="327"/>
      <c r="AJ470" s="651"/>
    </row>
    <row r="471" spans="1:51" s="308" customFormat="1" ht="11.25" customHeight="1" x14ac:dyDescent="0.25">
      <c r="A471" s="326"/>
      <c r="B471" s="326"/>
      <c r="C471" s="326"/>
      <c r="D471" s="326"/>
      <c r="E471" s="326"/>
      <c r="F471" s="326"/>
      <c r="G471" s="326"/>
      <c r="H471" s="326"/>
      <c r="I471" s="326"/>
      <c r="J471" s="326"/>
      <c r="K471" s="326"/>
      <c r="L471" s="326"/>
      <c r="M471" s="326"/>
      <c r="N471" s="326"/>
      <c r="O471" s="326"/>
      <c r="P471" s="326"/>
      <c r="Q471" s="326"/>
      <c r="R471" s="326"/>
      <c r="S471" s="326"/>
      <c r="T471" s="326"/>
      <c r="U471" s="326"/>
      <c r="V471" s="326"/>
      <c r="W471" s="326"/>
      <c r="X471" s="326"/>
      <c r="Y471" s="326"/>
      <c r="Z471" s="326"/>
      <c r="AA471" s="326"/>
      <c r="AB471" s="326"/>
      <c r="AC471" s="326"/>
      <c r="AD471" s="326"/>
      <c r="AE471" s="326"/>
      <c r="AF471" s="326"/>
      <c r="AG471" s="326"/>
      <c r="AH471" s="326"/>
      <c r="AJ471" s="508"/>
      <c r="AK471" s="307"/>
      <c r="AL471" s="307"/>
      <c r="AM471" s="307"/>
      <c r="AN471" s="307"/>
      <c r="AO471" s="307"/>
      <c r="AP471" s="307"/>
      <c r="AQ471" s="307"/>
      <c r="AR471" s="307"/>
      <c r="AS471" s="307"/>
      <c r="AT471" s="307"/>
      <c r="AU471" s="307"/>
      <c r="AV471" s="307"/>
      <c r="AW471" s="307"/>
      <c r="AX471" s="307"/>
      <c r="AY471" s="307"/>
    </row>
    <row r="472" spans="1:51" s="308" customFormat="1" ht="14.25" customHeight="1" x14ac:dyDescent="0.25">
      <c r="A472" s="1454" t="s">
        <v>316</v>
      </c>
      <c r="B472" s="1454" t="s">
        <v>317</v>
      </c>
      <c r="C472" s="1454"/>
      <c r="D472" s="1454"/>
      <c r="E472" s="1454"/>
      <c r="F472" s="1454"/>
      <c r="G472" s="1454"/>
      <c r="H472" s="1454"/>
      <c r="I472" s="1454"/>
      <c r="J472" s="1454"/>
      <c r="K472" s="1454"/>
      <c r="L472" s="1454"/>
      <c r="M472" s="1454"/>
      <c r="N472" s="1454"/>
      <c r="O472" s="1454"/>
      <c r="P472" s="1454"/>
      <c r="Q472" s="1454"/>
      <c r="R472" s="1454"/>
      <c r="S472" s="1454"/>
      <c r="T472" s="1454"/>
      <c r="U472" s="1454"/>
      <c r="V472" s="1454"/>
      <c r="W472" s="1454"/>
      <c r="X472" s="1454"/>
      <c r="Y472" s="1454"/>
      <c r="Z472" s="1454"/>
      <c r="AA472" s="1454"/>
      <c r="AB472" s="1454"/>
      <c r="AC472" s="1454"/>
      <c r="AD472" s="1454"/>
      <c r="AE472" s="1454"/>
      <c r="AF472" s="1454"/>
      <c r="AG472" s="1454"/>
      <c r="AH472" s="1454"/>
      <c r="AJ472" s="512"/>
    </row>
    <row r="473" spans="1:51" s="308" customFormat="1" ht="14.25" customHeight="1" x14ac:dyDescent="0.25">
      <c r="A473" s="1454" t="s">
        <v>318</v>
      </c>
      <c r="B473" s="1454" t="s">
        <v>317</v>
      </c>
      <c r="C473" s="1454"/>
      <c r="D473" s="1454"/>
      <c r="E473" s="1454"/>
      <c r="F473" s="1454"/>
      <c r="G473" s="1454"/>
      <c r="H473" s="1454"/>
      <c r="I473" s="1454"/>
      <c r="J473" s="1454"/>
      <c r="K473" s="1454"/>
      <c r="L473" s="1454"/>
      <c r="M473" s="1454"/>
      <c r="N473" s="1454"/>
      <c r="O473" s="1454"/>
      <c r="P473" s="1454"/>
      <c r="Q473" s="1454"/>
      <c r="R473" s="1454"/>
      <c r="S473" s="1454"/>
      <c r="T473" s="1454"/>
      <c r="U473" s="1454"/>
      <c r="V473" s="1454"/>
      <c r="W473" s="1454"/>
      <c r="X473" s="1454"/>
      <c r="Y473" s="1454"/>
      <c r="Z473" s="1454"/>
      <c r="AA473" s="1454"/>
      <c r="AB473" s="1454"/>
      <c r="AC473" s="1454"/>
      <c r="AD473" s="1454"/>
      <c r="AE473" s="1454"/>
      <c r="AF473" s="1454"/>
      <c r="AG473" s="1454"/>
      <c r="AH473" s="1454"/>
      <c r="AJ473" s="512"/>
    </row>
    <row r="474" spans="1:51" s="308" customFormat="1" ht="14.25" customHeight="1" x14ac:dyDescent="0.25">
      <c r="A474" s="1454" t="s">
        <v>319</v>
      </c>
      <c r="B474" s="1454" t="s">
        <v>320</v>
      </c>
      <c r="C474" s="1454"/>
      <c r="D474" s="1454"/>
      <c r="E474" s="1454"/>
      <c r="F474" s="1454"/>
      <c r="G474" s="1454"/>
      <c r="H474" s="1454"/>
      <c r="I474" s="1454"/>
      <c r="J474" s="1454"/>
      <c r="K474" s="1454"/>
      <c r="L474" s="1454"/>
      <c r="M474" s="1454"/>
      <c r="N474" s="1454"/>
      <c r="O474" s="1454"/>
      <c r="P474" s="1454"/>
      <c r="Q474" s="1454"/>
      <c r="R474" s="1454"/>
      <c r="S474" s="1454"/>
      <c r="T474" s="1454"/>
      <c r="U474" s="1454"/>
      <c r="V474" s="1454"/>
      <c r="W474" s="1454"/>
      <c r="X474" s="1454"/>
      <c r="Y474" s="1454"/>
      <c r="Z474" s="1454"/>
      <c r="AA474" s="1454"/>
      <c r="AB474" s="1454"/>
      <c r="AC474" s="1454"/>
      <c r="AD474" s="1454"/>
      <c r="AE474" s="1454"/>
      <c r="AF474" s="1454"/>
      <c r="AG474" s="1454"/>
      <c r="AH474" s="1454"/>
      <c r="AJ474" s="512"/>
    </row>
    <row r="475" spans="1:51" s="308" customFormat="1" ht="14.25" customHeight="1" x14ac:dyDescent="0.25">
      <c r="A475" s="1454" t="s">
        <v>321</v>
      </c>
      <c r="B475" s="1454" t="s">
        <v>320</v>
      </c>
      <c r="C475" s="1454"/>
      <c r="D475" s="1454"/>
      <c r="E475" s="1454"/>
      <c r="F475" s="1454"/>
      <c r="G475" s="1454"/>
      <c r="H475" s="1454"/>
      <c r="I475" s="1454"/>
      <c r="J475" s="1454"/>
      <c r="K475" s="1454"/>
      <c r="L475" s="1454"/>
      <c r="M475" s="1454"/>
      <c r="N475" s="1454"/>
      <c r="O475" s="1454"/>
      <c r="P475" s="1454"/>
      <c r="Q475" s="1454"/>
      <c r="R475" s="1454"/>
      <c r="S475" s="1454"/>
      <c r="T475" s="1454"/>
      <c r="U475" s="1454"/>
      <c r="V475" s="1454"/>
      <c r="W475" s="1454"/>
      <c r="X475" s="1454"/>
      <c r="Y475" s="1454"/>
      <c r="Z475" s="1454"/>
      <c r="AA475" s="1454"/>
      <c r="AB475" s="1454"/>
      <c r="AC475" s="1454"/>
      <c r="AD475" s="1454"/>
      <c r="AE475" s="1454"/>
      <c r="AF475" s="1454"/>
      <c r="AG475" s="1454"/>
      <c r="AH475" s="1454"/>
      <c r="AJ475" s="512"/>
    </row>
    <row r="476" spans="1:51" s="308" customFormat="1" ht="11.25" customHeight="1" x14ac:dyDescent="0.25">
      <c r="A476" s="326"/>
      <c r="B476" s="326"/>
      <c r="C476" s="326"/>
      <c r="D476" s="326"/>
      <c r="E476" s="326"/>
      <c r="F476" s="326"/>
      <c r="G476" s="326"/>
      <c r="H476" s="326"/>
      <c r="I476" s="326"/>
      <c r="J476" s="326"/>
      <c r="K476" s="326"/>
      <c r="L476" s="326"/>
      <c r="M476" s="326"/>
      <c r="N476" s="326"/>
      <c r="O476" s="326"/>
      <c r="P476" s="326"/>
      <c r="Q476" s="326"/>
      <c r="R476" s="326"/>
      <c r="S476" s="326"/>
      <c r="T476" s="326"/>
      <c r="U476" s="326"/>
      <c r="V476" s="326"/>
      <c r="W476" s="326"/>
      <c r="X476" s="326"/>
      <c r="Y476" s="326"/>
      <c r="Z476" s="326"/>
      <c r="AA476" s="326"/>
      <c r="AB476" s="326"/>
      <c r="AC476" s="326"/>
      <c r="AD476" s="326"/>
      <c r="AE476" s="326"/>
      <c r="AF476" s="326"/>
      <c r="AG476" s="326"/>
      <c r="AH476" s="326"/>
      <c r="AJ476" s="508"/>
      <c r="AK476" s="307"/>
      <c r="AL476" s="307"/>
      <c r="AM476" s="307"/>
      <c r="AN476" s="307"/>
      <c r="AO476" s="307"/>
      <c r="AP476" s="307"/>
      <c r="AQ476" s="307"/>
      <c r="AR476" s="307"/>
      <c r="AS476" s="307"/>
      <c r="AT476" s="307"/>
      <c r="AU476" s="307"/>
      <c r="AV476" s="307"/>
      <c r="AW476" s="307"/>
      <c r="AX476" s="307"/>
      <c r="AY476" s="307"/>
    </row>
    <row r="477" spans="1:51" s="305" customFormat="1" ht="15.75" customHeight="1" x14ac:dyDescent="0.25">
      <c r="A477" s="327"/>
      <c r="B477" s="327"/>
      <c r="C477" s="327"/>
      <c r="D477" s="327"/>
      <c r="E477" s="327"/>
      <c r="F477" s="327"/>
      <c r="G477" s="327"/>
      <c r="H477" s="327"/>
      <c r="I477" s="327"/>
      <c r="J477" s="327"/>
      <c r="K477" s="327"/>
      <c r="L477" s="327"/>
      <c r="M477" s="327"/>
      <c r="N477" s="327"/>
      <c r="O477" s="327"/>
      <c r="P477" s="327"/>
      <c r="Q477" s="327"/>
      <c r="R477" s="327"/>
      <c r="S477" s="327"/>
      <c r="T477" s="327"/>
      <c r="U477" s="327"/>
      <c r="V477" s="327"/>
      <c r="W477" s="327"/>
      <c r="X477" s="327"/>
      <c r="Y477" s="1471" t="s">
        <v>322</v>
      </c>
      <c r="Z477" s="1471"/>
      <c r="AA477" s="327"/>
      <c r="AB477" s="327"/>
      <c r="AC477" s="327"/>
      <c r="AD477" s="327"/>
      <c r="AE477" s="327"/>
      <c r="AF477" s="327"/>
      <c r="AG477" s="327"/>
      <c r="AH477" s="327"/>
      <c r="AJ477" s="651"/>
    </row>
    <row r="478" spans="1:51" s="308" customFormat="1" ht="11.25" customHeight="1" x14ac:dyDescent="0.25">
      <c r="A478" s="326"/>
      <c r="B478" s="326"/>
      <c r="C478" s="326"/>
      <c r="D478" s="326"/>
      <c r="E478" s="326"/>
      <c r="F478" s="326"/>
      <c r="G478" s="326"/>
      <c r="H478" s="326"/>
      <c r="I478" s="326"/>
      <c r="J478" s="326"/>
      <c r="K478" s="326"/>
      <c r="L478" s="326"/>
      <c r="M478" s="326"/>
      <c r="N478" s="326"/>
      <c r="O478" s="326"/>
      <c r="P478" s="326"/>
      <c r="Q478" s="326"/>
      <c r="R478" s="326"/>
      <c r="S478" s="326"/>
      <c r="T478" s="326"/>
      <c r="U478" s="326"/>
      <c r="V478" s="326"/>
      <c r="W478" s="326"/>
      <c r="X478" s="326"/>
      <c r="Y478" s="326"/>
      <c r="Z478" s="326"/>
      <c r="AA478" s="326"/>
      <c r="AB478" s="326"/>
      <c r="AC478" s="326"/>
      <c r="AD478" s="326"/>
      <c r="AE478" s="326"/>
      <c r="AF478" s="326"/>
      <c r="AG478" s="326"/>
      <c r="AH478" s="326"/>
      <c r="AJ478" s="508"/>
      <c r="AK478" s="307"/>
      <c r="AL478" s="307"/>
      <c r="AM478" s="307"/>
      <c r="AN478" s="307"/>
      <c r="AO478" s="307"/>
      <c r="AP478" s="307"/>
      <c r="AQ478" s="307"/>
      <c r="AR478" s="307"/>
      <c r="AS478" s="307"/>
      <c r="AT478" s="307"/>
      <c r="AU478" s="307"/>
      <c r="AV478" s="307"/>
      <c r="AW478" s="307"/>
      <c r="AX478" s="307"/>
      <c r="AY478" s="307"/>
    </row>
    <row r="479" spans="1:51" s="308" customFormat="1" ht="14.25" customHeight="1" x14ac:dyDescent="0.25">
      <c r="A479" s="1454" t="s">
        <v>323</v>
      </c>
      <c r="B479" s="1454"/>
      <c r="C479" s="1454"/>
      <c r="D479" s="1454"/>
      <c r="E479" s="1454"/>
      <c r="F479" s="1454"/>
      <c r="G479" s="1454"/>
      <c r="H479" s="1454"/>
      <c r="I479" s="1454"/>
      <c r="J479" s="1454"/>
      <c r="K479" s="1454"/>
      <c r="L479" s="1454"/>
      <c r="M479" s="1454"/>
      <c r="N479" s="1454"/>
      <c r="O479" s="1454"/>
      <c r="P479" s="1454"/>
      <c r="Q479" s="1454"/>
      <c r="R479" s="1454"/>
      <c r="S479" s="1454"/>
      <c r="T479" s="1454"/>
      <c r="U479" s="1454"/>
      <c r="V479" s="1454"/>
      <c r="W479" s="1454"/>
      <c r="X479" s="1454"/>
      <c r="Y479" s="1454"/>
      <c r="Z479" s="1454"/>
      <c r="AA479" s="1454"/>
      <c r="AB479" s="1454"/>
      <c r="AC479" s="1454"/>
      <c r="AD479" s="1454"/>
      <c r="AE479" s="1454"/>
      <c r="AF479" s="1454"/>
      <c r="AG479" s="1454"/>
      <c r="AH479" s="1454"/>
      <c r="AJ479" s="512"/>
    </row>
    <row r="480" spans="1:51" s="308" customFormat="1" ht="14.25" customHeight="1" x14ac:dyDescent="0.25">
      <c r="A480" s="1454" t="s">
        <v>324</v>
      </c>
      <c r="B480" s="1454" t="s">
        <v>325</v>
      </c>
      <c r="C480" s="1454"/>
      <c r="D480" s="1454"/>
      <c r="E480" s="1454"/>
      <c r="F480" s="1454"/>
      <c r="G480" s="1454"/>
      <c r="H480" s="1454"/>
      <c r="I480" s="1454"/>
      <c r="J480" s="1454"/>
      <c r="K480" s="1454"/>
      <c r="L480" s="1454"/>
      <c r="M480" s="1454"/>
      <c r="N480" s="1454"/>
      <c r="O480" s="1454"/>
      <c r="P480" s="1454"/>
      <c r="Q480" s="1454"/>
      <c r="R480" s="1454"/>
      <c r="S480" s="1454"/>
      <c r="T480" s="1454"/>
      <c r="U480" s="1454"/>
      <c r="V480" s="1454"/>
      <c r="W480" s="1454"/>
      <c r="X480" s="1454"/>
      <c r="Y480" s="1454"/>
      <c r="Z480" s="1454"/>
      <c r="AA480" s="1454"/>
      <c r="AB480" s="1454"/>
      <c r="AC480" s="1454"/>
      <c r="AD480" s="1454"/>
      <c r="AE480" s="1454"/>
      <c r="AF480" s="1454"/>
      <c r="AG480" s="1454"/>
      <c r="AH480" s="1454"/>
      <c r="AJ480" s="512"/>
    </row>
    <row r="481" spans="1:51" s="308" customFormat="1" ht="14.25" customHeight="1" x14ac:dyDescent="0.25">
      <c r="A481" s="1454" t="s">
        <v>326</v>
      </c>
      <c r="B481" s="1454" t="s">
        <v>317</v>
      </c>
      <c r="C481" s="1454"/>
      <c r="D481" s="1454"/>
      <c r="E481" s="1454"/>
      <c r="F481" s="1454"/>
      <c r="G481" s="1454"/>
      <c r="H481" s="1454"/>
      <c r="I481" s="1454"/>
      <c r="J481" s="1454"/>
      <c r="K481" s="1454"/>
      <c r="L481" s="1454"/>
      <c r="M481" s="1454"/>
      <c r="N481" s="1454"/>
      <c r="O481" s="1454"/>
      <c r="P481" s="1454"/>
      <c r="Q481" s="1454"/>
      <c r="R481" s="1454"/>
      <c r="S481" s="1454"/>
      <c r="T481" s="1454"/>
      <c r="U481" s="1454"/>
      <c r="V481" s="1454"/>
      <c r="W481" s="1454"/>
      <c r="X481" s="1454"/>
      <c r="Y481" s="1454"/>
      <c r="Z481" s="1454"/>
      <c r="AA481" s="1454"/>
      <c r="AB481" s="1454"/>
      <c r="AC481" s="1454"/>
      <c r="AD481" s="1454"/>
      <c r="AE481" s="1454"/>
      <c r="AF481" s="1454"/>
      <c r="AG481" s="1454"/>
      <c r="AH481" s="1454"/>
      <c r="AJ481" s="512"/>
    </row>
    <row r="482" spans="1:51" s="308" customFormat="1" ht="11.25" customHeight="1" x14ac:dyDescent="0.25">
      <c r="A482" s="326"/>
      <c r="B482" s="326"/>
      <c r="C482" s="326"/>
      <c r="D482" s="326"/>
      <c r="E482" s="326"/>
      <c r="F482" s="326"/>
      <c r="G482" s="326"/>
      <c r="H482" s="326"/>
      <c r="I482" s="326"/>
      <c r="J482" s="326"/>
      <c r="K482" s="326"/>
      <c r="L482" s="326"/>
      <c r="M482" s="326"/>
      <c r="N482" s="326"/>
      <c r="O482" s="326"/>
      <c r="P482" s="326"/>
      <c r="Q482" s="326"/>
      <c r="R482" s="326"/>
      <c r="S482" s="326"/>
      <c r="T482" s="326"/>
      <c r="U482" s="326"/>
      <c r="V482" s="326"/>
      <c r="W482" s="326"/>
      <c r="X482" s="326"/>
      <c r="Y482" s="326"/>
      <c r="Z482" s="326"/>
      <c r="AA482" s="326"/>
      <c r="AB482" s="326"/>
      <c r="AC482" s="326"/>
      <c r="AD482" s="326"/>
      <c r="AE482" s="326"/>
      <c r="AF482" s="326"/>
      <c r="AG482" s="326"/>
      <c r="AH482" s="326"/>
      <c r="AJ482" s="508"/>
      <c r="AK482" s="307"/>
      <c r="AL482" s="307"/>
      <c r="AM482" s="307"/>
      <c r="AN482" s="307"/>
      <c r="AO482" s="307"/>
      <c r="AP482" s="307"/>
      <c r="AQ482" s="307"/>
      <c r="AR482" s="307"/>
      <c r="AS482" s="307"/>
      <c r="AT482" s="307"/>
      <c r="AU482" s="307"/>
      <c r="AV482" s="307"/>
      <c r="AW482" s="307"/>
      <c r="AX482" s="307"/>
      <c r="AY482" s="307"/>
    </row>
    <row r="483" spans="1:51" s="308" customFormat="1" ht="27.75" customHeight="1" x14ac:dyDescent="0.25">
      <c r="A483" s="1454" t="s">
        <v>327</v>
      </c>
      <c r="B483" s="1454"/>
      <c r="C483" s="1454"/>
      <c r="D483" s="1454"/>
      <c r="E483" s="1454"/>
      <c r="F483" s="1454"/>
      <c r="G483" s="1454"/>
      <c r="H483" s="1454"/>
      <c r="I483" s="1454"/>
      <c r="J483" s="1454"/>
      <c r="K483" s="1454"/>
      <c r="L483" s="1454"/>
      <c r="M483" s="1454"/>
      <c r="N483" s="1454"/>
      <c r="O483" s="1454"/>
      <c r="P483" s="1454"/>
      <c r="Q483" s="1454"/>
      <c r="R483" s="1454"/>
      <c r="S483" s="1454"/>
      <c r="T483" s="1454"/>
      <c r="U483" s="1454"/>
      <c r="V483" s="1454"/>
      <c r="W483" s="1454"/>
      <c r="X483" s="1454"/>
      <c r="Y483" s="1454"/>
      <c r="Z483" s="1454"/>
      <c r="AA483" s="1454"/>
      <c r="AB483" s="1454"/>
      <c r="AC483" s="1454"/>
      <c r="AD483" s="1454"/>
      <c r="AE483" s="1454"/>
      <c r="AF483" s="1454"/>
      <c r="AG483" s="1454"/>
      <c r="AH483" s="1454"/>
      <c r="AJ483" s="512"/>
    </row>
    <row r="484" spans="1:51" s="308" customFormat="1" ht="11.25" customHeight="1" x14ac:dyDescent="0.25">
      <c r="A484" s="326"/>
      <c r="B484" s="326"/>
      <c r="C484" s="326"/>
      <c r="D484" s="326"/>
      <c r="E484" s="326"/>
      <c r="F484" s="326"/>
      <c r="G484" s="326"/>
      <c r="H484" s="326"/>
      <c r="I484" s="326"/>
      <c r="J484" s="326"/>
      <c r="K484" s="326"/>
      <c r="L484" s="326"/>
      <c r="M484" s="326"/>
      <c r="N484" s="326"/>
      <c r="O484" s="326"/>
      <c r="P484" s="326"/>
      <c r="Q484" s="326"/>
      <c r="R484" s="326"/>
      <c r="S484" s="326"/>
      <c r="T484" s="326"/>
      <c r="U484" s="326"/>
      <c r="V484" s="326"/>
      <c r="W484" s="326"/>
      <c r="X484" s="326"/>
      <c r="Y484" s="326"/>
      <c r="Z484" s="326"/>
      <c r="AA484" s="326"/>
      <c r="AB484" s="326"/>
      <c r="AC484" s="326"/>
      <c r="AD484" s="326"/>
      <c r="AE484" s="326"/>
      <c r="AF484" s="326"/>
      <c r="AG484" s="326"/>
      <c r="AH484" s="326"/>
      <c r="AJ484" s="508"/>
      <c r="AK484" s="307"/>
      <c r="AL484" s="307"/>
      <c r="AM484" s="307"/>
      <c r="AN484" s="307"/>
      <c r="AO484" s="307"/>
      <c r="AP484" s="307"/>
      <c r="AQ484" s="307"/>
      <c r="AR484" s="307"/>
      <c r="AS484" s="307"/>
      <c r="AT484" s="307"/>
      <c r="AU484" s="307"/>
      <c r="AV484" s="307"/>
      <c r="AW484" s="307"/>
      <c r="AX484" s="307"/>
      <c r="AY484" s="307"/>
    </row>
    <row r="485" spans="1:51" s="308" customFormat="1" ht="11.25" customHeight="1" x14ac:dyDescent="0.25">
      <c r="A485" s="326"/>
      <c r="B485" s="326"/>
      <c r="C485" s="326"/>
      <c r="D485" s="326"/>
      <c r="E485" s="326"/>
      <c r="F485" s="326"/>
      <c r="G485" s="326"/>
      <c r="H485" s="326"/>
      <c r="I485" s="326"/>
      <c r="J485" s="326"/>
      <c r="K485" s="326"/>
      <c r="L485" s="326"/>
      <c r="M485" s="326"/>
      <c r="N485" s="326"/>
      <c r="O485" s="326"/>
      <c r="P485" s="326"/>
      <c r="Q485" s="326"/>
      <c r="R485" s="326"/>
      <c r="S485" s="326"/>
      <c r="T485" s="326"/>
      <c r="U485" s="326"/>
      <c r="V485" s="326"/>
      <c r="W485" s="326"/>
      <c r="X485" s="326"/>
      <c r="Y485" s="326"/>
      <c r="Z485" s="326"/>
      <c r="AA485" s="326"/>
      <c r="AB485" s="326"/>
      <c r="AC485" s="326"/>
      <c r="AD485" s="326"/>
      <c r="AE485" s="326"/>
      <c r="AF485" s="326"/>
      <c r="AG485" s="326"/>
      <c r="AH485" s="326"/>
      <c r="AJ485" s="508"/>
      <c r="AK485" s="307"/>
      <c r="AL485" s="307"/>
      <c r="AM485" s="307"/>
      <c r="AN485" s="307"/>
      <c r="AO485" s="307"/>
      <c r="AP485" s="307"/>
      <c r="AQ485" s="307"/>
      <c r="AR485" s="307"/>
      <c r="AS485" s="307"/>
      <c r="AT485" s="307"/>
      <c r="AU485" s="307"/>
      <c r="AV485" s="307"/>
      <c r="AW485" s="307"/>
      <c r="AX485" s="307"/>
      <c r="AY485" s="307"/>
    </row>
    <row r="486" spans="1:51" s="305" customFormat="1" ht="15" customHeight="1" x14ac:dyDescent="0.25">
      <c r="A486" s="1455" t="s">
        <v>328</v>
      </c>
      <c r="B486" s="1455"/>
      <c r="C486" s="1455"/>
      <c r="D486" s="1455"/>
      <c r="E486" s="1455"/>
      <c r="F486" s="1455"/>
      <c r="G486" s="1455"/>
      <c r="H486" s="1455"/>
      <c r="I486" s="1455"/>
      <c r="J486" s="1455"/>
      <c r="K486" s="1455"/>
      <c r="L486" s="1455"/>
      <c r="M486" s="1455"/>
      <c r="N486" s="1455"/>
      <c r="O486" s="1455"/>
      <c r="P486" s="1455"/>
      <c r="Q486" s="1455"/>
      <c r="R486" s="1455"/>
      <c r="S486" s="1455"/>
      <c r="T486" s="1455"/>
      <c r="U486" s="1455"/>
      <c r="V486" s="1455"/>
      <c r="W486" s="1455"/>
      <c r="X486" s="1455"/>
      <c r="Y486" s="1455"/>
      <c r="Z486" s="1455"/>
      <c r="AA486" s="1455"/>
      <c r="AB486" s="1455"/>
      <c r="AC486" s="1455"/>
      <c r="AD486" s="1455"/>
      <c r="AE486" s="1455"/>
      <c r="AF486" s="1455"/>
      <c r="AG486" s="1455"/>
      <c r="AH486" s="1455"/>
      <c r="AJ486" s="651"/>
    </row>
    <row r="487" spans="1:51" s="308" customFormat="1" ht="11.25" customHeight="1" x14ac:dyDescent="0.25">
      <c r="A487" s="326"/>
      <c r="B487" s="326"/>
      <c r="C487" s="326"/>
      <c r="D487" s="326"/>
      <c r="E487" s="326"/>
      <c r="F487" s="326"/>
      <c r="G487" s="326"/>
      <c r="H487" s="326"/>
      <c r="I487" s="326"/>
      <c r="J487" s="326"/>
      <c r="K487" s="326"/>
      <c r="L487" s="326"/>
      <c r="M487" s="326"/>
      <c r="N487" s="326"/>
      <c r="O487" s="326"/>
      <c r="P487" s="326"/>
      <c r="Q487" s="326"/>
      <c r="R487" s="326"/>
      <c r="S487" s="326"/>
      <c r="T487" s="326"/>
      <c r="U487" s="326"/>
      <c r="V487" s="326"/>
      <c r="W487" s="326"/>
      <c r="X487" s="326"/>
      <c r="Y487" s="326"/>
      <c r="Z487" s="326"/>
      <c r="AA487" s="326"/>
      <c r="AB487" s="326"/>
      <c r="AC487" s="326"/>
      <c r="AD487" s="326"/>
      <c r="AE487" s="326"/>
      <c r="AF487" s="326"/>
      <c r="AG487" s="326"/>
      <c r="AH487" s="326"/>
      <c r="AJ487" s="508"/>
      <c r="AK487" s="307"/>
      <c r="AL487" s="307"/>
      <c r="AM487" s="307"/>
      <c r="AN487" s="307"/>
      <c r="AO487" s="307"/>
      <c r="AP487" s="307"/>
      <c r="AQ487" s="307"/>
      <c r="AR487" s="307"/>
      <c r="AS487" s="307"/>
      <c r="AT487" s="307"/>
      <c r="AU487" s="307"/>
      <c r="AV487" s="307"/>
      <c r="AW487" s="307"/>
      <c r="AX487" s="307"/>
      <c r="AY487" s="307"/>
    </row>
    <row r="488" spans="1:51" s="308" customFormat="1" ht="54.75" customHeight="1" x14ac:dyDescent="0.25">
      <c r="A488" s="1454" t="s">
        <v>329</v>
      </c>
      <c r="B488" s="1454"/>
      <c r="C488" s="1454"/>
      <c r="D488" s="1454"/>
      <c r="E488" s="1454"/>
      <c r="F488" s="1454"/>
      <c r="G488" s="1454"/>
      <c r="H488" s="1454"/>
      <c r="I488" s="1454"/>
      <c r="J488" s="1454"/>
      <c r="K488" s="1454"/>
      <c r="L488" s="1454"/>
      <c r="M488" s="1454"/>
      <c r="N488" s="1454"/>
      <c r="O488" s="1454"/>
      <c r="P488" s="1454"/>
      <c r="Q488" s="1454"/>
      <c r="R488" s="1454"/>
      <c r="S488" s="1454"/>
      <c r="T488" s="1454"/>
      <c r="U488" s="1454"/>
      <c r="V488" s="1454"/>
      <c r="W488" s="1454"/>
      <c r="X488" s="1454"/>
      <c r="Y488" s="1454"/>
      <c r="Z488" s="1454"/>
      <c r="AA488" s="1454"/>
      <c r="AB488" s="1454"/>
      <c r="AC488" s="1454"/>
      <c r="AD488" s="1454"/>
      <c r="AE488" s="1454"/>
      <c r="AF488" s="1454"/>
      <c r="AG488" s="1454"/>
      <c r="AH488" s="1454"/>
      <c r="AJ488" s="512"/>
    </row>
    <row r="489" spans="1:51" s="308" customFormat="1" ht="11.25" customHeight="1" x14ac:dyDescent="0.25">
      <c r="A489" s="326"/>
      <c r="B489" s="326"/>
      <c r="C489" s="326"/>
      <c r="D489" s="326"/>
      <c r="E489" s="326"/>
      <c r="F489" s="326"/>
      <c r="G489" s="326"/>
      <c r="H489" s="326"/>
      <c r="I489" s="326"/>
      <c r="J489" s="326"/>
      <c r="K489" s="326"/>
      <c r="L489" s="326"/>
      <c r="M489" s="326"/>
      <c r="N489" s="326"/>
      <c r="O489" s="326"/>
      <c r="P489" s="326"/>
      <c r="Q489" s="326"/>
      <c r="R489" s="326"/>
      <c r="S489" s="326"/>
      <c r="T489" s="326"/>
      <c r="U489" s="326"/>
      <c r="V489" s="326"/>
      <c r="W489" s="326"/>
      <c r="X489" s="326"/>
      <c r="Y489" s="326"/>
      <c r="Z489" s="326"/>
      <c r="AA489" s="326"/>
      <c r="AB489" s="326"/>
      <c r="AC489" s="326"/>
      <c r="AD489" s="326"/>
      <c r="AE489" s="326"/>
      <c r="AF489" s="326"/>
      <c r="AG489" s="326"/>
      <c r="AH489" s="326"/>
      <c r="AJ489" s="508"/>
      <c r="AK489" s="307"/>
      <c r="AL489" s="307"/>
      <c r="AM489" s="307"/>
      <c r="AN489" s="307"/>
      <c r="AO489" s="307"/>
      <c r="AP489" s="307"/>
      <c r="AQ489" s="307"/>
      <c r="AR489" s="307"/>
      <c r="AS489" s="307"/>
      <c r="AT489" s="307"/>
      <c r="AU489" s="307"/>
      <c r="AV489" s="307"/>
      <c r="AW489" s="307"/>
      <c r="AX489" s="307"/>
      <c r="AY489" s="307"/>
    </row>
    <row r="490" spans="1:51" s="308" customFormat="1" ht="14.25" customHeight="1" x14ac:dyDescent="0.25">
      <c r="A490" s="1455" t="s">
        <v>330</v>
      </c>
      <c r="B490" s="1455" t="s">
        <v>331</v>
      </c>
      <c r="C490" s="1455"/>
      <c r="D490" s="1455"/>
      <c r="E490" s="1455"/>
      <c r="F490" s="1455"/>
      <c r="G490" s="1455"/>
      <c r="H490" s="1455"/>
      <c r="I490" s="1455"/>
      <c r="J490" s="1455"/>
      <c r="K490" s="1455"/>
      <c r="L490" s="1455"/>
      <c r="M490" s="1455"/>
      <c r="N490" s="1455"/>
      <c r="O490" s="1455"/>
      <c r="P490" s="1455"/>
      <c r="Q490" s="1455"/>
      <c r="R490" s="1455"/>
      <c r="S490" s="1455"/>
      <c r="T490" s="1455"/>
      <c r="U490" s="1455"/>
      <c r="V490" s="1455"/>
      <c r="W490" s="1455"/>
      <c r="X490" s="1455"/>
      <c r="Y490" s="1455"/>
      <c r="Z490" s="1455"/>
      <c r="AA490" s="1455"/>
      <c r="AB490" s="1455"/>
      <c r="AC490" s="1455"/>
      <c r="AD490" s="1455"/>
      <c r="AE490" s="1455"/>
      <c r="AF490" s="1455"/>
      <c r="AG490" s="1455"/>
      <c r="AH490" s="1455"/>
      <c r="AJ490" s="512"/>
    </row>
    <row r="491" spans="1:51" s="308" customFormat="1" ht="14.25" customHeight="1" x14ac:dyDescent="0.25">
      <c r="A491" s="1455" t="s">
        <v>332</v>
      </c>
      <c r="B491" s="1455"/>
      <c r="C491" s="1455"/>
      <c r="D491" s="1455"/>
      <c r="E491" s="1455"/>
      <c r="F491" s="1455"/>
      <c r="G491" s="1455"/>
      <c r="H491" s="1455"/>
      <c r="I491" s="1455"/>
      <c r="J491" s="1455"/>
      <c r="K491" s="1455"/>
      <c r="L491" s="1455"/>
      <c r="M491" s="1455"/>
      <c r="N491" s="1455"/>
      <c r="O491" s="1455"/>
      <c r="P491" s="1455"/>
      <c r="Q491" s="1455"/>
      <c r="R491" s="1455"/>
      <c r="S491" s="1455"/>
      <c r="T491" s="1455"/>
      <c r="U491" s="1455"/>
      <c r="V491" s="1455"/>
      <c r="W491" s="1455"/>
      <c r="X491" s="1455"/>
      <c r="Y491" s="1455"/>
      <c r="Z491" s="1455"/>
      <c r="AA491" s="1455"/>
      <c r="AB491" s="1455"/>
      <c r="AC491" s="1455"/>
      <c r="AD491" s="1455"/>
      <c r="AE491" s="1455"/>
      <c r="AF491" s="1455"/>
      <c r="AG491" s="1455"/>
      <c r="AH491" s="1455"/>
      <c r="AJ491" s="512"/>
    </row>
    <row r="492" spans="1:51" s="308" customFormat="1" ht="14.25" customHeight="1" x14ac:dyDescent="0.25">
      <c r="A492" s="1455" t="s">
        <v>333</v>
      </c>
      <c r="B492" s="1455"/>
      <c r="C492" s="1455"/>
      <c r="D492" s="1455"/>
      <c r="E492" s="1455"/>
      <c r="F492" s="1455"/>
      <c r="G492" s="1455"/>
      <c r="H492" s="1455"/>
      <c r="I492" s="1455"/>
      <c r="J492" s="1455"/>
      <c r="K492" s="1455"/>
      <c r="L492" s="1455"/>
      <c r="M492" s="1455"/>
      <c r="N492" s="1455"/>
      <c r="O492" s="1455"/>
      <c r="P492" s="1455"/>
      <c r="Q492" s="1455"/>
      <c r="R492" s="1455"/>
      <c r="S492" s="1455"/>
      <c r="T492" s="1455"/>
      <c r="U492" s="1455"/>
      <c r="V492" s="1455"/>
      <c r="W492" s="1455"/>
      <c r="X492" s="1455"/>
      <c r="Y492" s="1455"/>
      <c r="Z492" s="1455"/>
      <c r="AA492" s="1455"/>
      <c r="AB492" s="1455"/>
      <c r="AC492" s="1455"/>
      <c r="AD492" s="1455"/>
      <c r="AE492" s="1455"/>
      <c r="AF492" s="1455"/>
      <c r="AG492" s="1455"/>
      <c r="AH492" s="1455"/>
      <c r="AJ492" s="512"/>
    </row>
    <row r="493" spans="1:51" s="308" customFormat="1" ht="14.25" customHeight="1" x14ac:dyDescent="0.25">
      <c r="A493" s="1455" t="s">
        <v>334</v>
      </c>
      <c r="B493" s="1455"/>
      <c r="C493" s="1455"/>
      <c r="D493" s="1455"/>
      <c r="E493" s="1455"/>
      <c r="F493" s="1455"/>
      <c r="G493" s="1455"/>
      <c r="H493" s="1455"/>
      <c r="I493" s="1455"/>
      <c r="J493" s="1455"/>
      <c r="K493" s="1455"/>
      <c r="L493" s="1455"/>
      <c r="M493" s="1455"/>
      <c r="N493" s="1455"/>
      <c r="O493" s="1455"/>
      <c r="P493" s="1455"/>
      <c r="Q493" s="1455"/>
      <c r="R493" s="1455"/>
      <c r="S493" s="1455"/>
      <c r="T493" s="1455"/>
      <c r="U493" s="1455"/>
      <c r="V493" s="1455"/>
      <c r="W493" s="1455"/>
      <c r="X493" s="1455"/>
      <c r="Y493" s="1455"/>
      <c r="Z493" s="1455"/>
      <c r="AA493" s="1455"/>
      <c r="AB493" s="1455"/>
      <c r="AC493" s="1455"/>
      <c r="AD493" s="1455"/>
      <c r="AE493" s="1455"/>
      <c r="AF493" s="1455"/>
      <c r="AG493" s="1455"/>
      <c r="AH493" s="1455"/>
      <c r="AJ493" s="512"/>
    </row>
    <row r="494" spans="1:51" s="308" customFormat="1" ht="14.25" customHeight="1" x14ac:dyDescent="0.25">
      <c r="A494" s="1455" t="s">
        <v>335</v>
      </c>
      <c r="B494" s="1455"/>
      <c r="C494" s="1455"/>
      <c r="D494" s="1455"/>
      <c r="E494" s="1455"/>
      <c r="F494" s="1455"/>
      <c r="G494" s="1455"/>
      <c r="H494" s="1455"/>
      <c r="I494" s="1455"/>
      <c r="J494" s="1455"/>
      <c r="K494" s="1455"/>
      <c r="L494" s="1455"/>
      <c r="M494" s="1455"/>
      <c r="N494" s="1455"/>
      <c r="O494" s="1455"/>
      <c r="P494" s="1455"/>
      <c r="Q494" s="1455"/>
      <c r="R494" s="1455"/>
      <c r="S494" s="1455"/>
      <c r="T494" s="1455"/>
      <c r="U494" s="1455"/>
      <c r="V494" s="1455"/>
      <c r="W494" s="1455"/>
      <c r="X494" s="1455"/>
      <c r="Y494" s="1455"/>
      <c r="Z494" s="1455"/>
      <c r="AA494" s="1455"/>
      <c r="AB494" s="1455"/>
      <c r="AC494" s="1455"/>
      <c r="AD494" s="1455"/>
      <c r="AE494" s="1455"/>
      <c r="AF494" s="1455"/>
      <c r="AG494" s="1455"/>
      <c r="AH494" s="1455"/>
      <c r="AJ494" s="512"/>
    </row>
    <row r="495" spans="1:51" s="308" customFormat="1" ht="14.25" customHeight="1" x14ac:dyDescent="0.25">
      <c r="A495" s="1455" t="s">
        <v>336</v>
      </c>
      <c r="B495" s="1455"/>
      <c r="C495" s="1455"/>
      <c r="D495" s="1455"/>
      <c r="E495" s="1455"/>
      <c r="F495" s="1455"/>
      <c r="G495" s="1455"/>
      <c r="H495" s="1455"/>
      <c r="I495" s="1455"/>
      <c r="J495" s="1455"/>
      <c r="K495" s="1455"/>
      <c r="L495" s="1455"/>
      <c r="M495" s="1455"/>
      <c r="N495" s="1455"/>
      <c r="O495" s="1455"/>
      <c r="P495" s="1455"/>
      <c r="Q495" s="1455"/>
      <c r="R495" s="1455"/>
      <c r="S495" s="1455"/>
      <c r="T495" s="1455"/>
      <c r="U495" s="1455"/>
      <c r="V495" s="1455"/>
      <c r="W495" s="1455"/>
      <c r="X495" s="1455"/>
      <c r="Y495" s="1455"/>
      <c r="Z495" s="1455"/>
      <c r="AA495" s="1455"/>
      <c r="AB495" s="1455"/>
      <c r="AC495" s="1455"/>
      <c r="AD495" s="1455"/>
      <c r="AE495" s="1455"/>
      <c r="AF495" s="1455"/>
      <c r="AG495" s="1455"/>
      <c r="AH495" s="1455"/>
      <c r="AJ495" s="512"/>
    </row>
    <row r="496" spans="1:51" s="308" customFormat="1" ht="11.25" customHeight="1" x14ac:dyDescent="0.25">
      <c r="A496" s="326"/>
      <c r="B496" s="326"/>
      <c r="C496" s="326"/>
      <c r="D496" s="326"/>
      <c r="E496" s="326"/>
      <c r="F496" s="326"/>
      <c r="G496" s="326"/>
      <c r="H496" s="326"/>
      <c r="I496" s="326"/>
      <c r="J496" s="326"/>
      <c r="K496" s="326"/>
      <c r="L496" s="326"/>
      <c r="M496" s="326"/>
      <c r="N496" s="326"/>
      <c r="O496" s="326"/>
      <c r="P496" s="326"/>
      <c r="Q496" s="326"/>
      <c r="R496" s="326"/>
      <c r="S496" s="326"/>
      <c r="T496" s="326"/>
      <c r="U496" s="326"/>
      <c r="V496" s="326"/>
      <c r="W496" s="326"/>
      <c r="X496" s="326"/>
      <c r="Y496" s="326"/>
      <c r="Z496" s="326"/>
      <c r="AA496" s="326"/>
      <c r="AB496" s="326"/>
      <c r="AC496" s="326"/>
      <c r="AD496" s="326"/>
      <c r="AE496" s="326"/>
      <c r="AF496" s="326"/>
      <c r="AG496" s="326"/>
      <c r="AH496" s="326"/>
      <c r="AJ496" s="508"/>
      <c r="AK496" s="307"/>
      <c r="AL496" s="307"/>
      <c r="AM496" s="307"/>
      <c r="AN496" s="307"/>
      <c r="AO496" s="307"/>
      <c r="AP496" s="307"/>
      <c r="AQ496" s="307"/>
      <c r="AR496" s="307"/>
      <c r="AS496" s="307"/>
      <c r="AT496" s="307"/>
      <c r="AU496" s="307"/>
      <c r="AV496" s="307"/>
      <c r="AW496" s="307"/>
      <c r="AX496" s="307"/>
      <c r="AY496" s="307"/>
    </row>
    <row r="497" spans="1:51" s="308" customFormat="1" ht="27.75" customHeight="1" x14ac:dyDescent="0.25">
      <c r="A497" s="1454" t="s">
        <v>337</v>
      </c>
      <c r="B497" s="1454"/>
      <c r="C497" s="1454"/>
      <c r="D497" s="1454"/>
      <c r="E497" s="1454"/>
      <c r="F497" s="1454"/>
      <c r="G497" s="1454"/>
      <c r="H497" s="1454"/>
      <c r="I497" s="1454"/>
      <c r="J497" s="1454"/>
      <c r="K497" s="1454"/>
      <c r="L497" s="1454"/>
      <c r="M497" s="1454"/>
      <c r="N497" s="1454"/>
      <c r="O497" s="1454"/>
      <c r="P497" s="1454"/>
      <c r="Q497" s="1454"/>
      <c r="R497" s="1454"/>
      <c r="S497" s="1454"/>
      <c r="T497" s="1454"/>
      <c r="U497" s="1454"/>
      <c r="V497" s="1454"/>
      <c r="W497" s="1454"/>
      <c r="X497" s="1454"/>
      <c r="Y497" s="1454"/>
      <c r="Z497" s="1454"/>
      <c r="AA497" s="1454"/>
      <c r="AB497" s="1454"/>
      <c r="AC497" s="1454"/>
      <c r="AD497" s="1454"/>
      <c r="AE497" s="1454"/>
      <c r="AF497" s="1454"/>
      <c r="AG497" s="1454"/>
      <c r="AH497" s="1454"/>
      <c r="AJ497" s="512"/>
    </row>
    <row r="498" spans="1:51" s="308" customFormat="1" ht="11.25" customHeight="1" x14ac:dyDescent="0.25">
      <c r="A498" s="326"/>
      <c r="B498" s="326"/>
      <c r="C498" s="326"/>
      <c r="D498" s="326"/>
      <c r="E498" s="326"/>
      <c r="F498" s="326"/>
      <c r="G498" s="326"/>
      <c r="H498" s="326"/>
      <c r="I498" s="326"/>
      <c r="J498" s="326"/>
      <c r="K498" s="326"/>
      <c r="L498" s="326"/>
      <c r="M498" s="326"/>
      <c r="N498" s="326"/>
      <c r="O498" s="326"/>
      <c r="P498" s="326"/>
      <c r="Q498" s="326"/>
      <c r="R498" s="326"/>
      <c r="S498" s="326"/>
      <c r="T498" s="326"/>
      <c r="U498" s="326"/>
      <c r="V498" s="326"/>
      <c r="W498" s="326"/>
      <c r="X498" s="326"/>
      <c r="Y498" s="326"/>
      <c r="Z498" s="326"/>
      <c r="AA498" s="326"/>
      <c r="AB498" s="326"/>
      <c r="AC498" s="326"/>
      <c r="AD498" s="326"/>
      <c r="AE498" s="326"/>
      <c r="AF498" s="326"/>
      <c r="AG498" s="326"/>
      <c r="AH498" s="326"/>
      <c r="AJ498" s="508"/>
      <c r="AK498" s="307"/>
      <c r="AL498" s="307"/>
      <c r="AM498" s="307"/>
      <c r="AN498" s="307"/>
      <c r="AO498" s="307"/>
      <c r="AP498" s="307"/>
      <c r="AQ498" s="307"/>
      <c r="AR498" s="307"/>
      <c r="AS498" s="307"/>
      <c r="AT498" s="307"/>
      <c r="AU498" s="307"/>
      <c r="AV498" s="307"/>
      <c r="AW498" s="307"/>
      <c r="AX498" s="307"/>
      <c r="AY498" s="307"/>
    </row>
    <row r="499" spans="1:51" s="305" customFormat="1" ht="32.25" customHeight="1" x14ac:dyDescent="0.25">
      <c r="A499" s="327"/>
      <c r="B499" s="327"/>
      <c r="C499" s="327"/>
      <c r="D499" s="327"/>
      <c r="E499" s="327"/>
      <c r="F499" s="327"/>
      <c r="G499" s="327"/>
      <c r="H499" s="327"/>
      <c r="I499" s="327"/>
      <c r="J499" s="327"/>
      <c r="K499" s="327"/>
      <c r="L499" s="327"/>
      <c r="M499" s="327"/>
      <c r="N499" s="327"/>
      <c r="O499" s="327"/>
      <c r="P499" s="327"/>
      <c r="Q499" s="327"/>
      <c r="R499" s="327"/>
      <c r="S499" s="327"/>
      <c r="T499" s="327"/>
      <c r="U499" s="327"/>
      <c r="V499" s="327"/>
      <c r="W499" s="327"/>
      <c r="X499" s="327"/>
      <c r="Y499" s="1471" t="s">
        <v>338</v>
      </c>
      <c r="Z499" s="1471"/>
      <c r="AA499" s="327"/>
      <c r="AB499" s="327"/>
      <c r="AC499" s="327"/>
      <c r="AD499" s="327"/>
      <c r="AE499" s="327"/>
      <c r="AF499" s="327"/>
      <c r="AG499" s="327"/>
      <c r="AH499" s="327"/>
      <c r="AJ499" s="651"/>
    </row>
    <row r="500" spans="1:51" s="308" customFormat="1" ht="11.25" customHeight="1" x14ac:dyDescent="0.25">
      <c r="A500" s="326"/>
      <c r="B500" s="326"/>
      <c r="C500" s="326"/>
      <c r="D500" s="326"/>
      <c r="E500" s="326"/>
      <c r="F500" s="326"/>
      <c r="G500" s="326"/>
      <c r="H500" s="326"/>
      <c r="I500" s="326"/>
      <c r="J500" s="326"/>
      <c r="K500" s="326"/>
      <c r="L500" s="326"/>
      <c r="M500" s="326"/>
      <c r="N500" s="326"/>
      <c r="O500" s="326"/>
      <c r="P500" s="326"/>
      <c r="Q500" s="326"/>
      <c r="R500" s="326"/>
      <c r="S500" s="326"/>
      <c r="T500" s="326"/>
      <c r="U500" s="326"/>
      <c r="V500" s="326"/>
      <c r="W500" s="326"/>
      <c r="X500" s="326"/>
      <c r="Y500" s="326"/>
      <c r="Z500" s="326"/>
      <c r="AA500" s="326"/>
      <c r="AB500" s="326"/>
      <c r="AC500" s="326"/>
      <c r="AD500" s="326"/>
      <c r="AE500" s="326"/>
      <c r="AF500" s="326"/>
      <c r="AG500" s="326"/>
      <c r="AH500" s="326"/>
      <c r="AJ500" s="508"/>
      <c r="AK500" s="307"/>
      <c r="AL500" s="307"/>
      <c r="AM500" s="307"/>
      <c r="AN500" s="307"/>
      <c r="AO500" s="307"/>
      <c r="AP500" s="307"/>
      <c r="AQ500" s="307"/>
      <c r="AR500" s="307"/>
      <c r="AS500" s="307"/>
      <c r="AT500" s="307"/>
      <c r="AU500" s="307"/>
      <c r="AV500" s="307"/>
      <c r="AW500" s="307"/>
      <c r="AX500" s="307"/>
      <c r="AY500" s="307"/>
    </row>
    <row r="501" spans="1:51" s="305" customFormat="1" ht="36" customHeight="1" x14ac:dyDescent="0.25">
      <c r="A501" s="327"/>
      <c r="B501" s="327"/>
      <c r="C501" s="327"/>
      <c r="D501" s="327"/>
      <c r="E501" s="327"/>
      <c r="F501" s="327"/>
      <c r="G501" s="327"/>
      <c r="H501" s="327"/>
      <c r="I501" s="327"/>
      <c r="J501" s="327"/>
      <c r="K501" s="327"/>
      <c r="L501" s="327"/>
      <c r="M501" s="327"/>
      <c r="N501" s="327"/>
      <c r="O501" s="327"/>
      <c r="P501" s="327"/>
      <c r="Q501" s="327"/>
      <c r="R501" s="327"/>
      <c r="S501" s="327"/>
      <c r="T501" s="327"/>
      <c r="U501" s="327"/>
      <c r="V501" s="327"/>
      <c r="W501" s="327"/>
      <c r="X501" s="327"/>
      <c r="Y501" s="1471" t="s">
        <v>339</v>
      </c>
      <c r="Z501" s="1471"/>
      <c r="AA501" s="327"/>
      <c r="AB501" s="327"/>
      <c r="AC501" s="327"/>
      <c r="AD501" s="327"/>
      <c r="AE501" s="327"/>
      <c r="AF501" s="327"/>
      <c r="AG501" s="327"/>
      <c r="AH501" s="327"/>
      <c r="AJ501" s="651"/>
    </row>
    <row r="502" spans="1:51" s="308" customFormat="1" ht="11.25" customHeight="1" x14ac:dyDescent="0.25">
      <c r="A502" s="326"/>
      <c r="B502" s="326"/>
      <c r="C502" s="326"/>
      <c r="D502" s="326"/>
      <c r="E502" s="326"/>
      <c r="F502" s="326"/>
      <c r="G502" s="326"/>
      <c r="H502" s="326"/>
      <c r="I502" s="326"/>
      <c r="J502" s="326"/>
      <c r="K502" s="326"/>
      <c r="L502" s="326"/>
      <c r="M502" s="326"/>
      <c r="N502" s="326"/>
      <c r="O502" s="326"/>
      <c r="P502" s="326"/>
      <c r="Q502" s="326"/>
      <c r="R502" s="326"/>
      <c r="S502" s="326"/>
      <c r="T502" s="326"/>
      <c r="U502" s="326"/>
      <c r="V502" s="326"/>
      <c r="W502" s="326"/>
      <c r="X502" s="326"/>
      <c r="Y502" s="326"/>
      <c r="Z502" s="326"/>
      <c r="AA502" s="326"/>
      <c r="AB502" s="326"/>
      <c r="AC502" s="326"/>
      <c r="AD502" s="326"/>
      <c r="AE502" s="326"/>
      <c r="AF502" s="326"/>
      <c r="AG502" s="326"/>
      <c r="AH502" s="326"/>
      <c r="AJ502" s="508"/>
      <c r="AK502" s="307"/>
      <c r="AL502" s="307"/>
      <c r="AM502" s="307"/>
      <c r="AN502" s="307"/>
      <c r="AO502" s="307"/>
      <c r="AP502" s="307"/>
      <c r="AQ502" s="307"/>
      <c r="AR502" s="307"/>
      <c r="AS502" s="307"/>
      <c r="AT502" s="307"/>
      <c r="AU502" s="307"/>
      <c r="AV502" s="307"/>
      <c r="AW502" s="307"/>
      <c r="AX502" s="307"/>
      <c r="AY502" s="307"/>
    </row>
    <row r="503" spans="1:51" s="305" customFormat="1" ht="17.25" customHeight="1" x14ac:dyDescent="0.25">
      <c r="A503" s="327"/>
      <c r="B503" s="327"/>
      <c r="C503" s="327"/>
      <c r="D503" s="327"/>
      <c r="E503" s="327"/>
      <c r="F503" s="327"/>
      <c r="G503" s="327"/>
      <c r="H503" s="327"/>
      <c r="I503" s="327"/>
      <c r="J503" s="327"/>
      <c r="K503" s="327"/>
      <c r="L503" s="327"/>
      <c r="M503" s="327"/>
      <c r="N503" s="327"/>
      <c r="O503" s="327"/>
      <c r="P503" s="327"/>
      <c r="Q503" s="327"/>
      <c r="R503" s="327"/>
      <c r="S503" s="327"/>
      <c r="T503" s="327"/>
      <c r="U503" s="327"/>
      <c r="V503" s="327"/>
      <c r="W503" s="327"/>
      <c r="X503" s="327"/>
      <c r="Y503" s="1471" t="s">
        <v>340</v>
      </c>
      <c r="Z503" s="1471"/>
      <c r="AA503" s="327"/>
      <c r="AB503" s="327"/>
      <c r="AC503" s="327"/>
      <c r="AD503" s="327"/>
      <c r="AE503" s="327"/>
      <c r="AF503" s="327"/>
      <c r="AG503" s="327"/>
      <c r="AH503" s="327"/>
      <c r="AJ503" s="651"/>
    </row>
    <row r="504" spans="1:51" s="308" customFormat="1" ht="11.25" customHeight="1" x14ac:dyDescent="0.25">
      <c r="A504" s="326"/>
      <c r="B504" s="326"/>
      <c r="C504" s="326"/>
      <c r="D504" s="326"/>
      <c r="E504" s="326"/>
      <c r="F504" s="326"/>
      <c r="G504" s="326"/>
      <c r="H504" s="326"/>
      <c r="I504" s="326"/>
      <c r="J504" s="326"/>
      <c r="K504" s="326"/>
      <c r="L504" s="326"/>
      <c r="M504" s="326"/>
      <c r="N504" s="326"/>
      <c r="O504" s="326"/>
      <c r="P504" s="326"/>
      <c r="Q504" s="326"/>
      <c r="R504" s="326"/>
      <c r="S504" s="326"/>
      <c r="T504" s="326"/>
      <c r="U504" s="326"/>
      <c r="V504" s="326"/>
      <c r="W504" s="326"/>
      <c r="X504" s="326"/>
      <c r="Y504" s="326"/>
      <c r="Z504" s="326"/>
      <c r="AA504" s="326"/>
      <c r="AB504" s="326"/>
      <c r="AC504" s="326"/>
      <c r="AD504" s="326"/>
      <c r="AE504" s="326"/>
      <c r="AF504" s="326"/>
      <c r="AG504" s="326"/>
      <c r="AH504" s="326"/>
      <c r="AJ504" s="508"/>
      <c r="AK504" s="307"/>
      <c r="AL504" s="307"/>
      <c r="AM504" s="307"/>
      <c r="AN504" s="307"/>
      <c r="AO504" s="307"/>
      <c r="AP504" s="307"/>
      <c r="AQ504" s="307"/>
      <c r="AR504" s="307"/>
      <c r="AS504" s="307"/>
      <c r="AT504" s="307"/>
      <c r="AU504" s="307"/>
      <c r="AV504" s="307"/>
      <c r="AW504" s="307"/>
      <c r="AX504" s="307"/>
      <c r="AY504" s="307"/>
    </row>
    <row r="505" spans="1:51" s="305" customFormat="1" ht="38.25" customHeight="1" x14ac:dyDescent="0.25">
      <c r="A505" s="327"/>
      <c r="B505" s="327"/>
      <c r="C505" s="327"/>
      <c r="D505" s="327"/>
      <c r="E505" s="327"/>
      <c r="F505" s="327"/>
      <c r="G505" s="327"/>
      <c r="H505" s="327"/>
      <c r="I505" s="327"/>
      <c r="J505" s="327"/>
      <c r="K505" s="327"/>
      <c r="L505" s="327"/>
      <c r="M505" s="327"/>
      <c r="N505" s="327"/>
      <c r="O505" s="327"/>
      <c r="P505" s="327"/>
      <c r="Q505" s="327"/>
      <c r="R505" s="327"/>
      <c r="S505" s="327"/>
      <c r="T505" s="327"/>
      <c r="U505" s="327"/>
      <c r="V505" s="327"/>
      <c r="W505" s="327"/>
      <c r="X505" s="327"/>
      <c r="Y505" s="1471" t="s">
        <v>341</v>
      </c>
      <c r="Z505" s="1471"/>
      <c r="AA505" s="327"/>
      <c r="AB505" s="327"/>
      <c r="AC505" s="327"/>
      <c r="AD505" s="327"/>
      <c r="AE505" s="327"/>
      <c r="AF505" s="327"/>
      <c r="AG505" s="327"/>
      <c r="AH505" s="327"/>
      <c r="AJ505" s="651"/>
    </row>
    <row r="506" spans="1:51" s="308" customFormat="1" ht="11.25" customHeight="1" x14ac:dyDescent="0.25">
      <c r="A506" s="326"/>
      <c r="B506" s="326"/>
      <c r="C506" s="326"/>
      <c r="D506" s="326"/>
      <c r="E506" s="326"/>
      <c r="F506" s="326"/>
      <c r="G506" s="326"/>
      <c r="H506" s="326"/>
      <c r="I506" s="326"/>
      <c r="J506" s="326"/>
      <c r="K506" s="326"/>
      <c r="L506" s="326"/>
      <c r="M506" s="326"/>
      <c r="N506" s="326"/>
      <c r="O506" s="326"/>
      <c r="P506" s="326"/>
      <c r="Q506" s="326"/>
      <c r="R506" s="326"/>
      <c r="S506" s="326"/>
      <c r="T506" s="326"/>
      <c r="U506" s="326"/>
      <c r="V506" s="326"/>
      <c r="W506" s="326"/>
      <c r="X506" s="326"/>
      <c r="Y506" s="326"/>
      <c r="Z506" s="326"/>
      <c r="AA506" s="326"/>
      <c r="AB506" s="326"/>
      <c r="AC506" s="326"/>
      <c r="AD506" s="326"/>
      <c r="AE506" s="326"/>
      <c r="AF506" s="326"/>
      <c r="AG506" s="326"/>
      <c r="AH506" s="326"/>
      <c r="AJ506" s="508"/>
      <c r="AK506" s="307"/>
      <c r="AL506" s="307"/>
      <c r="AM506" s="307"/>
      <c r="AN506" s="307"/>
      <c r="AO506" s="307"/>
      <c r="AP506" s="307"/>
      <c r="AQ506" s="307"/>
      <c r="AR506" s="307"/>
      <c r="AS506" s="307"/>
      <c r="AT506" s="307"/>
      <c r="AU506" s="307"/>
      <c r="AV506" s="307"/>
      <c r="AW506" s="307"/>
      <c r="AX506" s="307"/>
      <c r="AY506" s="307"/>
    </row>
    <row r="507" spans="1:51" s="305" customFormat="1" ht="48" customHeight="1" x14ac:dyDescent="0.25">
      <c r="A507" s="327"/>
      <c r="B507" s="327"/>
      <c r="C507" s="327"/>
      <c r="D507" s="327"/>
      <c r="E507" s="327"/>
      <c r="F507" s="327"/>
      <c r="G507" s="327"/>
      <c r="H507" s="327"/>
      <c r="I507" s="327"/>
      <c r="J507" s="327"/>
      <c r="K507" s="327"/>
      <c r="L507" s="327"/>
      <c r="M507" s="327"/>
      <c r="N507" s="327"/>
      <c r="O507" s="327"/>
      <c r="P507" s="327"/>
      <c r="Q507" s="327"/>
      <c r="R507" s="327"/>
      <c r="S507" s="327"/>
      <c r="T507" s="327"/>
      <c r="U507" s="327"/>
      <c r="V507" s="327"/>
      <c r="W507" s="327"/>
      <c r="X507" s="327"/>
      <c r="Y507" s="1471" t="s">
        <v>342</v>
      </c>
      <c r="Z507" s="1471"/>
      <c r="AA507" s="327"/>
      <c r="AB507" s="327"/>
      <c r="AC507" s="327"/>
      <c r="AD507" s="327"/>
      <c r="AE507" s="327"/>
      <c r="AF507" s="327"/>
      <c r="AG507" s="327"/>
      <c r="AH507" s="327"/>
      <c r="AJ507" s="651"/>
    </row>
    <row r="508" spans="1:51" s="308" customFormat="1" ht="11.25" customHeight="1" x14ac:dyDescent="0.25">
      <c r="A508" s="326"/>
      <c r="B508" s="326"/>
      <c r="C508" s="326"/>
      <c r="D508" s="326"/>
      <c r="E508" s="326"/>
      <c r="F508" s="326"/>
      <c r="G508" s="326"/>
      <c r="H508" s="326"/>
      <c r="I508" s="326"/>
      <c r="J508" s="326"/>
      <c r="K508" s="326"/>
      <c r="L508" s="326"/>
      <c r="M508" s="326"/>
      <c r="N508" s="326"/>
      <c r="O508" s="326"/>
      <c r="P508" s="326"/>
      <c r="Q508" s="326"/>
      <c r="R508" s="326"/>
      <c r="S508" s="326"/>
      <c r="T508" s="326"/>
      <c r="U508" s="326"/>
      <c r="V508" s="326"/>
      <c r="W508" s="326"/>
      <c r="X508" s="326"/>
      <c r="Y508" s="326"/>
      <c r="Z508" s="326"/>
      <c r="AA508" s="326"/>
      <c r="AB508" s="326"/>
      <c r="AC508" s="326"/>
      <c r="AD508" s="326"/>
      <c r="AE508" s="326"/>
      <c r="AF508" s="326"/>
      <c r="AG508" s="326"/>
      <c r="AH508" s="326"/>
      <c r="AJ508" s="508"/>
      <c r="AK508" s="307"/>
      <c r="AL508" s="307"/>
      <c r="AM508" s="307"/>
      <c r="AN508" s="307"/>
      <c r="AO508" s="307"/>
      <c r="AP508" s="307"/>
      <c r="AQ508" s="307"/>
      <c r="AR508" s="307"/>
      <c r="AS508" s="307"/>
      <c r="AT508" s="307"/>
      <c r="AU508" s="307"/>
      <c r="AV508" s="307"/>
      <c r="AW508" s="307"/>
      <c r="AX508" s="307"/>
      <c r="AY508" s="307"/>
    </row>
    <row r="509" spans="1:51" s="308" customFormat="1" ht="11.25" customHeight="1" x14ac:dyDescent="0.25">
      <c r="A509" s="326"/>
      <c r="B509" s="326"/>
      <c r="C509" s="326"/>
      <c r="D509" s="326"/>
      <c r="E509" s="326"/>
      <c r="F509" s="326"/>
      <c r="G509" s="326"/>
      <c r="H509" s="326"/>
      <c r="I509" s="326"/>
      <c r="J509" s="326"/>
      <c r="K509" s="326"/>
      <c r="L509" s="326"/>
      <c r="M509" s="326"/>
      <c r="N509" s="326"/>
      <c r="O509" s="326"/>
      <c r="P509" s="326"/>
      <c r="Q509" s="326"/>
      <c r="R509" s="326"/>
      <c r="S509" s="326"/>
      <c r="T509" s="326"/>
      <c r="U509" s="326"/>
      <c r="V509" s="326"/>
      <c r="W509" s="326"/>
      <c r="X509" s="326"/>
      <c r="Y509" s="326"/>
      <c r="Z509" s="326"/>
      <c r="AA509" s="326"/>
      <c r="AB509" s="326"/>
      <c r="AC509" s="326"/>
      <c r="AD509" s="326"/>
      <c r="AE509" s="326"/>
      <c r="AF509" s="326"/>
      <c r="AG509" s="326"/>
      <c r="AH509" s="326"/>
      <c r="AJ509" s="508"/>
      <c r="AK509" s="307"/>
      <c r="AL509" s="307"/>
      <c r="AM509" s="307"/>
      <c r="AN509" s="307"/>
      <c r="AO509" s="307"/>
      <c r="AP509" s="307"/>
      <c r="AQ509" s="307"/>
      <c r="AR509" s="307"/>
      <c r="AS509" s="307"/>
      <c r="AT509" s="307"/>
      <c r="AU509" s="307"/>
      <c r="AV509" s="307"/>
      <c r="AW509" s="307"/>
      <c r="AX509" s="307"/>
      <c r="AY509" s="307"/>
    </row>
    <row r="510" spans="1:51" s="305" customFormat="1" ht="24.75" customHeight="1" x14ac:dyDescent="0.25">
      <c r="A510" s="312"/>
      <c r="B510" s="312"/>
      <c r="C510" s="312"/>
      <c r="D510" s="312"/>
      <c r="E510" s="312"/>
      <c r="F510" s="312"/>
      <c r="G510" s="312"/>
      <c r="H510" s="312"/>
      <c r="I510" s="312"/>
      <c r="J510" s="312"/>
      <c r="K510" s="312"/>
      <c r="L510" s="312"/>
      <c r="M510" s="658"/>
      <c r="N510" s="312"/>
      <c r="O510" s="312"/>
      <c r="P510" s="312"/>
      <c r="Q510" s="312"/>
      <c r="R510" s="312"/>
      <c r="S510" s="312"/>
      <c r="T510" s="312"/>
      <c r="U510" s="312"/>
      <c r="V510" s="312"/>
      <c r="W510" s="312"/>
      <c r="X510" s="312"/>
      <c r="Y510" s="1471" t="s">
        <v>343</v>
      </c>
      <c r="Z510" s="1471"/>
      <c r="AA510" s="312"/>
      <c r="AB510" s="312"/>
      <c r="AC510" s="312"/>
      <c r="AD510" s="312"/>
      <c r="AE510" s="312"/>
      <c r="AF510" s="312"/>
      <c r="AG510" s="312"/>
      <c r="AH510" s="312"/>
      <c r="AJ510" s="651"/>
    </row>
    <row r="511" spans="1:51" s="308" customFormat="1" ht="11.25" customHeight="1" x14ac:dyDescent="0.25">
      <c r="A511" s="326"/>
      <c r="B511" s="326"/>
      <c r="C511" s="326"/>
      <c r="D511" s="326"/>
      <c r="E511" s="326"/>
      <c r="F511" s="326"/>
      <c r="G511" s="326"/>
      <c r="H511" s="326"/>
      <c r="I511" s="326"/>
      <c r="J511" s="326"/>
      <c r="K511" s="326"/>
      <c r="L511" s="326"/>
      <c r="M511" s="326"/>
      <c r="N511" s="326"/>
      <c r="O511" s="326"/>
      <c r="P511" s="326"/>
      <c r="Q511" s="326"/>
      <c r="R511" s="326"/>
      <c r="S511" s="326"/>
      <c r="T511" s="326"/>
      <c r="U511" s="326"/>
      <c r="V511" s="326"/>
      <c r="W511" s="326"/>
      <c r="X511" s="326"/>
      <c r="Y511" s="326"/>
      <c r="Z511" s="326"/>
      <c r="AA511" s="326"/>
      <c r="AB511" s="326"/>
      <c r="AC511" s="326"/>
      <c r="AD511" s="326"/>
      <c r="AE511" s="326"/>
      <c r="AF511" s="326"/>
      <c r="AG511" s="326"/>
      <c r="AH511" s="326"/>
      <c r="AJ511" s="508"/>
      <c r="AK511" s="307"/>
      <c r="AL511" s="307"/>
      <c r="AM511" s="307"/>
      <c r="AN511" s="307"/>
      <c r="AO511" s="307"/>
      <c r="AP511" s="307"/>
      <c r="AQ511" s="307"/>
      <c r="AR511" s="307"/>
      <c r="AS511" s="307"/>
      <c r="AT511" s="307"/>
      <c r="AU511" s="307"/>
      <c r="AV511" s="307"/>
      <c r="AW511" s="307"/>
      <c r="AX511" s="307"/>
      <c r="AY511" s="307"/>
    </row>
    <row r="512" spans="1:51" s="305" customFormat="1" ht="13.8" x14ac:dyDescent="0.25">
      <c r="A512" s="659"/>
      <c r="B512" s="312" t="s">
        <v>344</v>
      </c>
      <c r="C512" s="312"/>
      <c r="D512" s="312"/>
      <c r="E512" s="312"/>
      <c r="F512" s="312"/>
      <c r="G512" s="312"/>
      <c r="H512" s="312"/>
      <c r="I512" s="312"/>
      <c r="J512" s="312"/>
      <c r="K512" s="312"/>
      <c r="L512" s="312"/>
      <c r="M512" s="312"/>
      <c r="N512" s="312"/>
      <c r="O512" s="312"/>
      <c r="P512" s="312"/>
      <c r="Q512" s="312"/>
      <c r="R512" s="312"/>
      <c r="S512" s="312"/>
      <c r="T512" s="312"/>
      <c r="U512" s="312"/>
      <c r="V512" s="312"/>
      <c r="W512" s="312"/>
      <c r="X512" s="312"/>
      <c r="Y512" s="312"/>
      <c r="Z512" s="312"/>
      <c r="AA512" s="312"/>
      <c r="AB512" s="312"/>
      <c r="AC512" s="312"/>
      <c r="AD512" s="312"/>
      <c r="AE512" s="312"/>
      <c r="AF512" s="312"/>
      <c r="AG512" s="312"/>
      <c r="AH512" s="312"/>
      <c r="AJ512" s="651"/>
    </row>
    <row r="513" spans="1:36" s="308" customFormat="1" ht="14.25" customHeight="1" x14ac:dyDescent="0.25">
      <c r="A513" s="1455" t="s">
        <v>345</v>
      </c>
      <c r="B513" s="1455" t="s">
        <v>320</v>
      </c>
      <c r="C513" s="1455"/>
      <c r="D513" s="1455"/>
      <c r="E513" s="1455"/>
      <c r="F513" s="1455"/>
      <c r="G513" s="1455"/>
      <c r="H513" s="1455"/>
      <c r="I513" s="1455"/>
      <c r="J513" s="1455"/>
      <c r="K513" s="1455"/>
      <c r="L513" s="1455"/>
      <c r="M513" s="1455"/>
      <c r="N513" s="1455"/>
      <c r="O513" s="1455"/>
      <c r="P513" s="1455"/>
      <c r="Q513" s="1455"/>
      <c r="R513" s="1455"/>
      <c r="S513" s="1455"/>
      <c r="T513" s="1455"/>
      <c r="U513" s="1455"/>
      <c r="V513" s="1455"/>
      <c r="W513" s="1455"/>
      <c r="X513" s="1455"/>
      <c r="Y513" s="1455"/>
      <c r="Z513" s="1455"/>
      <c r="AA513" s="1455"/>
      <c r="AB513" s="1455"/>
      <c r="AC513" s="1455"/>
      <c r="AD513" s="1455"/>
      <c r="AE513" s="1455"/>
      <c r="AF513" s="1455"/>
      <c r="AG513" s="1455"/>
      <c r="AH513" s="1455"/>
      <c r="AJ513" s="512"/>
    </row>
    <row r="514" spans="1:36" s="305" customFormat="1" ht="13.8" x14ac:dyDescent="0.25">
      <c r="A514" s="313" t="s">
        <v>346</v>
      </c>
      <c r="B514" s="312" t="str">
        <f>"Cantidad auxiliar, calculada con la ecuación "&amp;MID(Y501,4,2)&amp;"."</f>
        <v>Cantidad auxiliar, calculada con la ecuación 20.</v>
      </c>
      <c r="C514" s="312"/>
      <c r="D514" s="312"/>
      <c r="E514" s="312"/>
      <c r="F514" s="312"/>
      <c r="G514" s="312"/>
      <c r="H514" s="312"/>
      <c r="I514" s="312"/>
      <c r="J514" s="312"/>
      <c r="K514" s="312"/>
      <c r="L514" s="312"/>
      <c r="M514" s="312"/>
      <c r="N514" s="312"/>
      <c r="O514" s="312"/>
      <c r="P514" s="312"/>
      <c r="Q514" s="312"/>
      <c r="R514" s="312"/>
      <c r="S514" s="312"/>
      <c r="T514" s="312"/>
      <c r="U514" s="312"/>
      <c r="V514" s="312"/>
      <c r="W514" s="312"/>
      <c r="X514" s="312"/>
      <c r="Y514" s="312"/>
      <c r="Z514" s="312"/>
      <c r="AA514" s="312"/>
      <c r="AB514" s="312"/>
      <c r="AC514" s="312"/>
      <c r="AD514" s="312"/>
      <c r="AE514" s="312"/>
      <c r="AF514" s="312"/>
      <c r="AG514" s="312"/>
      <c r="AH514" s="312"/>
      <c r="AJ514" s="651"/>
    </row>
    <row r="515" spans="1:36" s="305" customFormat="1" ht="13.8" x14ac:dyDescent="0.25">
      <c r="A515" s="659"/>
      <c r="B515" s="312" t="s">
        <v>347</v>
      </c>
      <c r="C515" s="312"/>
      <c r="D515" s="312"/>
      <c r="E515" s="312"/>
      <c r="F515" s="312"/>
      <c r="G515" s="312"/>
      <c r="H515" s="312"/>
      <c r="I515" s="312"/>
      <c r="J515" s="312"/>
      <c r="K515" s="312"/>
      <c r="L515" s="312"/>
      <c r="M515" s="312"/>
      <c r="N515" s="312"/>
      <c r="O515" s="312"/>
      <c r="P515" s="312"/>
      <c r="Q515" s="312"/>
      <c r="R515" s="312"/>
      <c r="S515" s="312"/>
      <c r="T515" s="312"/>
      <c r="U515" s="312"/>
      <c r="V515" s="312"/>
      <c r="W515" s="312"/>
      <c r="X515" s="312"/>
      <c r="Y515" s="312"/>
      <c r="Z515" s="312"/>
      <c r="AA515" s="312"/>
      <c r="AB515" s="312"/>
      <c r="AC515" s="312"/>
      <c r="AD515" s="312"/>
      <c r="AE515" s="312"/>
      <c r="AF515" s="312"/>
      <c r="AG515" s="312"/>
      <c r="AH515" s="312"/>
      <c r="AJ515" s="651"/>
    </row>
    <row r="516" spans="1:36" s="305" customFormat="1" ht="13.8" x14ac:dyDescent="0.25">
      <c r="A516" s="313" t="s">
        <v>348</v>
      </c>
      <c r="B516" s="312" t="str">
        <f>"Cantidad auxiliar, calculada con la ecuación "&amp;MID(Y503,4,2)&amp;"."</f>
        <v>Cantidad auxiliar, calculada con la ecuación 21.</v>
      </c>
      <c r="C516" s="312"/>
      <c r="D516" s="312"/>
      <c r="E516" s="312"/>
      <c r="F516" s="312"/>
      <c r="G516" s="312"/>
      <c r="H516" s="312"/>
      <c r="I516" s="312"/>
      <c r="J516" s="312"/>
      <c r="K516" s="312"/>
      <c r="L516" s="312"/>
      <c r="M516" s="312"/>
      <c r="N516" s="312"/>
      <c r="O516" s="312"/>
      <c r="P516" s="312"/>
      <c r="Q516" s="312"/>
      <c r="R516" s="312"/>
      <c r="S516" s="312"/>
      <c r="T516" s="312"/>
      <c r="U516" s="312"/>
      <c r="V516" s="312"/>
      <c r="W516" s="312"/>
      <c r="X516" s="312"/>
      <c r="Y516" s="312"/>
      <c r="Z516" s="312"/>
      <c r="AA516" s="312"/>
      <c r="AB516" s="312"/>
      <c r="AC516" s="312"/>
      <c r="AD516" s="312"/>
      <c r="AE516" s="312"/>
      <c r="AF516" s="312"/>
      <c r="AG516" s="312"/>
      <c r="AH516" s="312"/>
      <c r="AJ516" s="651"/>
    </row>
    <row r="517" spans="1:36" s="305" customFormat="1" ht="13.8" x14ac:dyDescent="0.25">
      <c r="A517" s="659"/>
      <c r="B517" s="312" t="s">
        <v>349</v>
      </c>
      <c r="C517" s="312"/>
      <c r="D517" s="312"/>
      <c r="E517" s="312"/>
      <c r="F517" s="312"/>
      <c r="G517" s="312"/>
      <c r="H517" s="312"/>
      <c r="I517" s="312"/>
      <c r="J517" s="312"/>
      <c r="K517" s="312"/>
      <c r="L517" s="312"/>
      <c r="M517" s="312"/>
      <c r="N517" s="312"/>
      <c r="O517" s="312"/>
      <c r="P517" s="312"/>
      <c r="Q517" s="312"/>
      <c r="R517" s="312"/>
      <c r="S517" s="312"/>
      <c r="T517" s="312"/>
      <c r="U517" s="312"/>
      <c r="V517" s="312"/>
      <c r="W517" s="312"/>
      <c r="X517" s="312"/>
      <c r="Y517" s="312"/>
      <c r="Z517" s="312"/>
      <c r="AA517" s="312"/>
      <c r="AB517" s="312"/>
      <c r="AC517" s="312"/>
      <c r="AD517" s="312"/>
      <c r="AE517" s="312"/>
      <c r="AF517" s="312"/>
      <c r="AG517" s="312"/>
      <c r="AH517" s="312"/>
      <c r="AJ517" s="651"/>
    </row>
    <row r="518" spans="1:36" s="305" customFormat="1" ht="13.8" x14ac:dyDescent="0.25">
      <c r="A518" s="659"/>
      <c r="B518" s="312" t="s">
        <v>350</v>
      </c>
      <c r="C518" s="312"/>
      <c r="D518" s="312"/>
      <c r="E518" s="312"/>
      <c r="F518" s="312"/>
      <c r="G518" s="312"/>
      <c r="H518" s="312"/>
      <c r="I518" s="312"/>
      <c r="J518" s="312"/>
      <c r="K518" s="312"/>
      <c r="L518" s="312"/>
      <c r="M518" s="312"/>
      <c r="N518" s="312"/>
      <c r="O518" s="312"/>
      <c r="P518" s="312"/>
      <c r="Q518" s="312"/>
      <c r="R518" s="312"/>
      <c r="S518" s="312"/>
      <c r="T518" s="312"/>
      <c r="U518" s="312"/>
      <c r="V518" s="312"/>
      <c r="W518" s="312"/>
      <c r="X518" s="312"/>
      <c r="Y518" s="312"/>
      <c r="Z518" s="312"/>
      <c r="AA518" s="312"/>
      <c r="AB518" s="312"/>
      <c r="AC518" s="312"/>
      <c r="AD518" s="312"/>
      <c r="AE518" s="312"/>
      <c r="AF518" s="312"/>
      <c r="AG518" s="312"/>
      <c r="AH518" s="312"/>
      <c r="AJ518" s="651"/>
    </row>
    <row r="519" spans="1:36" s="305" customFormat="1" ht="13.8" x14ac:dyDescent="0.25">
      <c r="A519" s="313" t="s">
        <v>351</v>
      </c>
      <c r="B519" s="312" t="s">
        <v>352</v>
      </c>
      <c r="C519" s="312"/>
      <c r="D519" s="312"/>
      <c r="E519" s="312"/>
      <c r="F519" s="312"/>
      <c r="G519" s="312"/>
      <c r="H519" s="312"/>
      <c r="I519" s="312"/>
      <c r="J519" s="312"/>
      <c r="K519" s="312"/>
      <c r="L519" s="312"/>
      <c r="M519" s="312"/>
      <c r="N519" s="312"/>
      <c r="O519" s="312"/>
      <c r="P519" s="312"/>
      <c r="Q519" s="312"/>
      <c r="R519" s="312"/>
      <c r="S519" s="312"/>
      <c r="T519" s="312"/>
      <c r="U519" s="312"/>
      <c r="V519" s="312"/>
      <c r="W519" s="312"/>
      <c r="X519" s="312"/>
      <c r="Y519" s="312"/>
      <c r="Z519" s="312"/>
      <c r="AA519" s="312"/>
      <c r="AB519" s="312"/>
      <c r="AC519" s="312"/>
      <c r="AD519" s="312"/>
      <c r="AE519" s="312"/>
      <c r="AF519" s="312"/>
      <c r="AG519" s="312"/>
      <c r="AH519" s="312"/>
      <c r="AJ519" s="651"/>
    </row>
    <row r="520" spans="1:36" s="305" customFormat="1" ht="13.8" x14ac:dyDescent="0.25">
      <c r="A520" s="659"/>
      <c r="B520" s="312" t="s">
        <v>353</v>
      </c>
      <c r="C520" s="312"/>
      <c r="D520" s="312"/>
      <c r="E520" s="312"/>
      <c r="F520" s="312"/>
      <c r="G520" s="312"/>
      <c r="H520" s="312"/>
      <c r="I520" s="312"/>
      <c r="J520" s="312"/>
      <c r="K520" s="312"/>
      <c r="L520" s="312"/>
      <c r="M520" s="312"/>
      <c r="N520" s="312"/>
      <c r="O520" s="312"/>
      <c r="P520" s="312"/>
      <c r="Q520" s="312"/>
      <c r="R520" s="312"/>
      <c r="S520" s="312"/>
      <c r="T520" s="312"/>
      <c r="U520" s="312"/>
      <c r="V520" s="312"/>
      <c r="W520" s="312"/>
      <c r="X520" s="312"/>
      <c r="Y520" s="312"/>
      <c r="Z520" s="312"/>
      <c r="AA520" s="312"/>
      <c r="AB520" s="312"/>
      <c r="AC520" s="312"/>
      <c r="AD520" s="312"/>
      <c r="AE520" s="312"/>
      <c r="AF520" s="312"/>
      <c r="AG520" s="312"/>
      <c r="AH520" s="312"/>
      <c r="AJ520" s="651"/>
    </row>
    <row r="521" spans="1:36" s="305" customFormat="1" ht="13.8" x14ac:dyDescent="0.25">
      <c r="A521" s="659"/>
      <c r="B521" s="312" t="s">
        <v>354</v>
      </c>
      <c r="C521" s="312"/>
      <c r="D521" s="312"/>
      <c r="E521" s="312"/>
      <c r="F521" s="312"/>
      <c r="G521" s="312"/>
      <c r="H521" s="312"/>
      <c r="I521" s="312"/>
      <c r="J521" s="312"/>
      <c r="K521" s="312"/>
      <c r="L521" s="312"/>
      <c r="M521" s="312"/>
      <c r="N521" s="312"/>
      <c r="O521" s="312"/>
      <c r="P521" s="312"/>
      <c r="Q521" s="312"/>
      <c r="R521" s="312"/>
      <c r="S521" s="312"/>
      <c r="T521" s="312"/>
      <c r="U521" s="312"/>
      <c r="V521" s="312"/>
      <c r="W521" s="312"/>
      <c r="X521" s="312"/>
      <c r="Y521" s="312"/>
      <c r="Z521" s="312"/>
      <c r="AA521" s="312"/>
      <c r="AB521" s="312"/>
      <c r="AC521" s="312"/>
      <c r="AD521" s="312"/>
      <c r="AE521" s="312"/>
      <c r="AF521" s="312"/>
      <c r="AG521" s="312"/>
      <c r="AH521" s="312"/>
      <c r="AJ521" s="651"/>
    </row>
    <row r="522" spans="1:36" s="305" customFormat="1" ht="13.8" x14ac:dyDescent="0.25">
      <c r="A522" s="313" t="s">
        <v>355</v>
      </c>
      <c r="B522" s="312" t="s">
        <v>356</v>
      </c>
      <c r="C522" s="312"/>
      <c r="D522" s="312"/>
      <c r="E522" s="312"/>
      <c r="F522" s="312"/>
      <c r="G522" s="312"/>
      <c r="H522" s="312"/>
      <c r="I522" s="312"/>
      <c r="J522" s="312"/>
      <c r="K522" s="312"/>
      <c r="L522" s="312"/>
      <c r="M522" s="312"/>
      <c r="N522" s="312"/>
      <c r="O522" s="312"/>
      <c r="P522" s="312"/>
      <c r="Q522" s="312"/>
      <c r="R522" s="312"/>
      <c r="S522" s="312"/>
      <c r="T522" s="312"/>
      <c r="U522" s="312"/>
      <c r="V522" s="312"/>
      <c r="W522" s="312"/>
      <c r="X522" s="312"/>
      <c r="Y522" s="312"/>
      <c r="Z522" s="312"/>
      <c r="AA522" s="312"/>
      <c r="AB522" s="312"/>
      <c r="AC522" s="312"/>
      <c r="AD522" s="312"/>
      <c r="AE522" s="312"/>
      <c r="AF522" s="312"/>
      <c r="AG522" s="312"/>
      <c r="AH522" s="312"/>
      <c r="AJ522" s="651"/>
    </row>
    <row r="523" spans="1:36" s="305" customFormat="1" ht="13.8" x14ac:dyDescent="0.25">
      <c r="A523" s="313" t="s">
        <v>357</v>
      </c>
      <c r="B523" s="312" t="s">
        <v>358</v>
      </c>
      <c r="C523" s="312"/>
      <c r="D523" s="312"/>
      <c r="E523" s="312"/>
      <c r="F523" s="312"/>
      <c r="G523" s="312"/>
      <c r="H523" s="312"/>
      <c r="I523" s="312"/>
      <c r="J523" s="312"/>
      <c r="K523" s="312"/>
      <c r="L523" s="312"/>
      <c r="M523" s="312"/>
      <c r="N523" s="312"/>
      <c r="O523" s="312"/>
      <c r="P523" s="312"/>
      <c r="Q523" s="312"/>
      <c r="R523" s="312"/>
      <c r="S523" s="312"/>
      <c r="T523" s="312"/>
      <c r="U523" s="312"/>
      <c r="V523" s="312"/>
      <c r="W523" s="312"/>
      <c r="X523" s="312"/>
      <c r="Y523" s="312"/>
      <c r="Z523" s="312"/>
      <c r="AA523" s="312"/>
      <c r="AB523" s="312"/>
      <c r="AC523" s="312"/>
      <c r="AD523" s="312"/>
      <c r="AE523" s="312"/>
      <c r="AF523" s="312"/>
      <c r="AG523" s="312"/>
      <c r="AH523" s="312"/>
      <c r="AJ523" s="651"/>
    </row>
    <row r="524" spans="1:36" s="305" customFormat="1" ht="13.8" x14ac:dyDescent="0.25">
      <c r="A524" s="313" t="s">
        <v>359</v>
      </c>
      <c r="B524" s="312" t="s">
        <v>360</v>
      </c>
      <c r="C524" s="312"/>
      <c r="D524" s="312"/>
      <c r="E524" s="312"/>
      <c r="F524" s="312"/>
      <c r="G524" s="312"/>
      <c r="H524" s="312"/>
      <c r="I524" s="312"/>
      <c r="J524" s="312"/>
      <c r="K524" s="312"/>
      <c r="L524" s="312"/>
      <c r="M524" s="312"/>
      <c r="N524" s="312"/>
      <c r="O524" s="312"/>
      <c r="P524" s="312"/>
      <c r="Q524" s="312"/>
      <c r="R524" s="312"/>
      <c r="S524" s="312"/>
      <c r="T524" s="312"/>
      <c r="U524" s="312"/>
      <c r="V524" s="312"/>
      <c r="W524" s="312"/>
      <c r="X524" s="312"/>
      <c r="Y524" s="312"/>
      <c r="Z524" s="312"/>
      <c r="AA524" s="312"/>
      <c r="AB524" s="312"/>
      <c r="AC524" s="312"/>
      <c r="AD524" s="312"/>
      <c r="AE524" s="312"/>
      <c r="AF524" s="312"/>
      <c r="AG524" s="312"/>
      <c r="AH524" s="312"/>
      <c r="AJ524" s="651"/>
    </row>
    <row r="525" spans="1:36" s="305" customFormat="1" ht="13.8" x14ac:dyDescent="0.25">
      <c r="A525" s="313" t="s">
        <v>361</v>
      </c>
      <c r="B525" s="312" t="str">
        <f>"Cantidad auxiliar, calculada con la ecuación "&amp;MID(Y505,4,2)&amp;"."</f>
        <v>Cantidad auxiliar, calculada con la ecuación 22.</v>
      </c>
      <c r="C525" s="312"/>
      <c r="D525" s="312"/>
      <c r="E525" s="312"/>
      <c r="F525" s="312"/>
      <c r="G525" s="312"/>
      <c r="H525" s="312"/>
      <c r="I525" s="312"/>
      <c r="J525" s="312"/>
      <c r="K525" s="312"/>
      <c r="L525" s="312"/>
      <c r="M525" s="312"/>
      <c r="N525" s="312"/>
      <c r="O525" s="312"/>
      <c r="P525" s="312"/>
      <c r="Q525" s="312"/>
      <c r="R525" s="312"/>
      <c r="S525" s="312"/>
      <c r="T525" s="312"/>
      <c r="U525" s="312"/>
      <c r="V525" s="312"/>
      <c r="W525" s="312"/>
      <c r="X525" s="312"/>
      <c r="Y525" s="312"/>
      <c r="Z525" s="312"/>
      <c r="AA525" s="312"/>
      <c r="AB525" s="312"/>
      <c r="AC525" s="312"/>
      <c r="AD525" s="312"/>
      <c r="AE525" s="312"/>
      <c r="AF525" s="312"/>
      <c r="AG525" s="312"/>
      <c r="AH525" s="312"/>
      <c r="AJ525" s="651"/>
    </row>
    <row r="526" spans="1:36" s="305" customFormat="1" ht="13.8" x14ac:dyDescent="0.25">
      <c r="A526" s="314" t="s">
        <v>362</v>
      </c>
      <c r="B526" s="312" t="s">
        <v>363</v>
      </c>
      <c r="C526" s="312"/>
      <c r="D526" s="312"/>
      <c r="E526" s="312"/>
      <c r="F526" s="312"/>
      <c r="G526" s="312"/>
      <c r="H526" s="312"/>
      <c r="I526" s="312"/>
      <c r="J526" s="312"/>
      <c r="K526" s="312"/>
      <c r="L526" s="312"/>
      <c r="M526" s="312"/>
      <c r="N526" s="312"/>
      <c r="O526" s="312"/>
      <c r="P526" s="312"/>
      <c r="Q526" s="312"/>
      <c r="R526" s="312"/>
      <c r="S526" s="312"/>
      <c r="T526" s="312"/>
      <c r="U526" s="312"/>
      <c r="V526" s="312"/>
      <c r="W526" s="312"/>
      <c r="X526" s="312"/>
      <c r="Y526" s="312"/>
      <c r="Z526" s="312"/>
      <c r="AA526" s="312"/>
      <c r="AB526" s="312"/>
      <c r="AC526" s="312"/>
      <c r="AD526" s="312"/>
      <c r="AE526" s="312"/>
      <c r="AF526" s="312"/>
      <c r="AG526" s="312"/>
      <c r="AH526" s="312"/>
      <c r="AJ526" s="651"/>
    </row>
    <row r="527" spans="1:36" s="305" customFormat="1" ht="13.8" x14ac:dyDescent="0.25">
      <c r="A527" s="659"/>
      <c r="B527" s="312" t="s">
        <v>364</v>
      </c>
      <c r="C527" s="312"/>
      <c r="D527" s="312"/>
      <c r="E527" s="312"/>
      <c r="F527" s="312"/>
      <c r="G527" s="312"/>
      <c r="H527" s="312"/>
      <c r="I527" s="312"/>
      <c r="J527" s="312"/>
      <c r="K527" s="312"/>
      <c r="L527" s="312"/>
      <c r="M527" s="312"/>
      <c r="N527" s="312"/>
      <c r="O527" s="312"/>
      <c r="P527" s="312"/>
      <c r="Q527" s="312"/>
      <c r="R527" s="312"/>
      <c r="S527" s="312"/>
      <c r="T527" s="312"/>
      <c r="U527" s="312"/>
      <c r="V527" s="312"/>
      <c r="W527" s="312"/>
      <c r="X527" s="312"/>
      <c r="Y527" s="312"/>
      <c r="Z527" s="312"/>
      <c r="AA527" s="312"/>
      <c r="AB527" s="312"/>
      <c r="AC527" s="312"/>
      <c r="AD527" s="312"/>
      <c r="AE527" s="312"/>
      <c r="AF527" s="312"/>
      <c r="AG527" s="312"/>
      <c r="AH527" s="312"/>
      <c r="AJ527" s="651"/>
    </row>
    <row r="528" spans="1:36" s="305" customFormat="1" ht="13.8" x14ac:dyDescent="0.25">
      <c r="A528" s="659"/>
      <c r="B528" s="312" t="s">
        <v>365</v>
      </c>
      <c r="C528" s="312"/>
      <c r="D528" s="312"/>
      <c r="E528" s="312"/>
      <c r="F528" s="312"/>
      <c r="G528" s="312"/>
      <c r="H528" s="312"/>
      <c r="I528" s="312"/>
      <c r="J528" s="312"/>
      <c r="K528" s="312"/>
      <c r="L528" s="312"/>
      <c r="M528" s="312"/>
      <c r="N528" s="312"/>
      <c r="O528" s="312"/>
      <c r="P528" s="312"/>
      <c r="Q528" s="312"/>
      <c r="R528" s="312"/>
      <c r="S528" s="312"/>
      <c r="T528" s="312"/>
      <c r="U528" s="312"/>
      <c r="V528" s="312"/>
      <c r="W528" s="312"/>
      <c r="X528" s="312"/>
      <c r="Y528" s="312"/>
      <c r="Z528" s="312"/>
      <c r="AA528" s="312"/>
      <c r="AB528" s="312"/>
      <c r="AC528" s="312"/>
      <c r="AD528" s="312"/>
      <c r="AE528" s="312"/>
      <c r="AF528" s="312"/>
      <c r="AG528" s="312"/>
      <c r="AH528" s="312"/>
      <c r="AJ528" s="651"/>
    </row>
    <row r="529" spans="1:51" s="305" customFormat="1" ht="13.8" x14ac:dyDescent="0.25">
      <c r="A529" s="659"/>
      <c r="B529" s="312" t="s">
        <v>366</v>
      </c>
      <c r="C529" s="312"/>
      <c r="D529" s="312"/>
      <c r="E529" s="312"/>
      <c r="F529" s="312"/>
      <c r="G529" s="312"/>
      <c r="H529" s="312"/>
      <c r="I529" s="312"/>
      <c r="J529" s="312"/>
      <c r="K529" s="312"/>
      <c r="L529" s="312"/>
      <c r="M529" s="312"/>
      <c r="N529" s="312"/>
      <c r="O529" s="312"/>
      <c r="P529" s="312"/>
      <c r="Q529" s="312"/>
      <c r="R529" s="312"/>
      <c r="S529" s="312"/>
      <c r="T529" s="312"/>
      <c r="U529" s="312"/>
      <c r="V529" s="312"/>
      <c r="W529" s="312"/>
      <c r="X529" s="312"/>
      <c r="Y529" s="312"/>
      <c r="Z529" s="312"/>
      <c r="AA529" s="312"/>
      <c r="AB529" s="312"/>
      <c r="AC529" s="312"/>
      <c r="AD529" s="312"/>
      <c r="AE529" s="312"/>
      <c r="AF529" s="312"/>
      <c r="AG529" s="312"/>
      <c r="AH529" s="312"/>
      <c r="AJ529" s="651"/>
    </row>
    <row r="530" spans="1:51" s="305" customFormat="1" ht="13.8" x14ac:dyDescent="0.25">
      <c r="A530" s="659"/>
      <c r="B530" s="312" t="s">
        <v>367</v>
      </c>
      <c r="C530" s="312"/>
      <c r="D530" s="312"/>
      <c r="E530" s="312"/>
      <c r="F530" s="312"/>
      <c r="G530" s="312"/>
      <c r="H530" s="312"/>
      <c r="I530" s="312"/>
      <c r="J530" s="312"/>
      <c r="K530" s="312"/>
      <c r="L530" s="312"/>
      <c r="M530" s="312"/>
      <c r="N530" s="312"/>
      <c r="O530" s="312"/>
      <c r="P530" s="312"/>
      <c r="Q530" s="312"/>
      <c r="R530" s="312"/>
      <c r="S530" s="312"/>
      <c r="T530" s="312"/>
      <c r="U530" s="312"/>
      <c r="V530" s="312"/>
      <c r="W530" s="312"/>
      <c r="X530" s="312"/>
      <c r="Y530" s="312"/>
      <c r="Z530" s="312"/>
      <c r="AA530" s="312"/>
      <c r="AB530" s="312"/>
      <c r="AC530" s="312"/>
      <c r="AD530" s="312"/>
      <c r="AE530" s="312"/>
      <c r="AF530" s="312"/>
      <c r="AG530" s="312"/>
      <c r="AH530" s="312"/>
      <c r="AJ530" s="651"/>
    </row>
    <row r="531" spans="1:51" s="305" customFormat="1" ht="13.8" x14ac:dyDescent="0.25">
      <c r="A531" s="313" t="s">
        <v>368</v>
      </c>
      <c r="B531" s="312" t="str">
        <f>"Cantidad auxiliar, calculada con la ecuación "&amp;MID(Y507,4,2)&amp;"."</f>
        <v>Cantidad auxiliar, calculada con la ecuación 23.</v>
      </c>
      <c r="C531" s="312"/>
      <c r="D531" s="312"/>
      <c r="E531" s="312"/>
      <c r="F531" s="312"/>
      <c r="G531" s="312"/>
      <c r="H531" s="312"/>
      <c r="I531" s="312"/>
      <c r="J531" s="312"/>
      <c r="K531" s="312"/>
      <c r="L531" s="312"/>
      <c r="M531" s="312"/>
      <c r="N531" s="312"/>
      <c r="O531" s="312"/>
      <c r="P531" s="312"/>
      <c r="Q531" s="312"/>
      <c r="R531" s="312"/>
      <c r="S531" s="312"/>
      <c r="T531" s="312"/>
      <c r="U531" s="312"/>
      <c r="V531" s="312"/>
      <c r="W531" s="312"/>
      <c r="X531" s="312"/>
      <c r="Y531" s="312"/>
      <c r="Z531" s="312"/>
      <c r="AA531" s="312"/>
      <c r="AB531" s="312"/>
      <c r="AC531" s="312"/>
      <c r="AD531" s="312"/>
      <c r="AE531" s="312"/>
      <c r="AF531" s="312"/>
      <c r="AG531" s="312"/>
      <c r="AH531" s="312"/>
      <c r="AJ531" s="651"/>
    </row>
    <row r="532" spans="1:51" s="305" customFormat="1" ht="13.8" x14ac:dyDescent="0.25">
      <c r="A532" s="313" t="s">
        <v>369</v>
      </c>
      <c r="B532" s="312" t="s">
        <v>370</v>
      </c>
      <c r="C532" s="312"/>
      <c r="D532" s="312"/>
      <c r="E532" s="312"/>
      <c r="F532" s="312"/>
      <c r="G532" s="312"/>
      <c r="H532" s="312"/>
      <c r="I532" s="312"/>
      <c r="J532" s="312"/>
      <c r="K532" s="312"/>
      <c r="L532" s="312"/>
      <c r="M532" s="312"/>
      <c r="N532" s="312"/>
      <c r="O532" s="312"/>
      <c r="P532" s="312"/>
      <c r="Q532" s="312"/>
      <c r="R532" s="312"/>
      <c r="S532" s="312"/>
      <c r="T532" s="312"/>
      <c r="U532" s="312"/>
      <c r="V532" s="312"/>
      <c r="W532" s="312"/>
      <c r="X532" s="312"/>
      <c r="Y532" s="312"/>
      <c r="Z532" s="312"/>
      <c r="AA532" s="312"/>
      <c r="AB532" s="312"/>
      <c r="AC532" s="312"/>
      <c r="AD532" s="312"/>
      <c r="AE532" s="312"/>
      <c r="AF532" s="312"/>
      <c r="AG532" s="312"/>
      <c r="AH532" s="312"/>
      <c r="AJ532" s="651"/>
    </row>
    <row r="533" spans="1:51" s="305" customFormat="1" ht="13.8" x14ac:dyDescent="0.25">
      <c r="A533" s="313" t="s">
        <v>371</v>
      </c>
      <c r="B533" s="312" t="s">
        <v>372</v>
      </c>
      <c r="C533" s="312"/>
      <c r="D533" s="312"/>
      <c r="E533" s="312"/>
      <c r="F533" s="312"/>
      <c r="G533" s="312"/>
      <c r="H533" s="312"/>
      <c r="I533" s="312"/>
      <c r="J533" s="312"/>
      <c r="K533" s="312"/>
      <c r="L533" s="312"/>
      <c r="M533" s="312"/>
      <c r="N533" s="312"/>
      <c r="O533" s="312"/>
      <c r="P533" s="312"/>
      <c r="Q533" s="312"/>
      <c r="R533" s="312"/>
      <c r="S533" s="312"/>
      <c r="T533" s="312"/>
      <c r="U533" s="312"/>
      <c r="V533" s="312"/>
      <c r="W533" s="312"/>
      <c r="X533" s="312"/>
      <c r="Y533" s="312"/>
      <c r="Z533" s="312"/>
      <c r="AA533" s="312"/>
      <c r="AB533" s="312"/>
      <c r="AC533" s="312"/>
      <c r="AD533" s="312"/>
      <c r="AE533" s="312"/>
      <c r="AF533" s="312"/>
      <c r="AG533" s="312"/>
      <c r="AH533" s="312"/>
      <c r="AJ533" s="651"/>
    </row>
    <row r="534" spans="1:51" s="305" customFormat="1" ht="13.8" x14ac:dyDescent="0.25">
      <c r="A534" s="313" t="s">
        <v>373</v>
      </c>
      <c r="B534" s="312" t="s">
        <v>374</v>
      </c>
      <c r="C534" s="312"/>
      <c r="D534" s="312"/>
      <c r="E534" s="312"/>
      <c r="F534" s="312"/>
      <c r="G534" s="312"/>
      <c r="H534" s="312"/>
      <c r="I534" s="312"/>
      <c r="J534" s="312"/>
      <c r="K534" s="312"/>
      <c r="L534" s="312"/>
      <c r="M534" s="312"/>
      <c r="N534" s="312"/>
      <c r="O534" s="312"/>
      <c r="P534" s="312"/>
      <c r="Q534" s="312"/>
      <c r="R534" s="312"/>
      <c r="S534" s="312"/>
      <c r="T534" s="312"/>
      <c r="U534" s="312"/>
      <c r="V534" s="312"/>
      <c r="W534" s="312"/>
      <c r="X534" s="312"/>
      <c r="Y534" s="312"/>
      <c r="Z534" s="312"/>
      <c r="AA534" s="312"/>
      <c r="AB534" s="312"/>
      <c r="AC534" s="312"/>
      <c r="AD534" s="312"/>
      <c r="AE534" s="312"/>
      <c r="AF534" s="312"/>
      <c r="AG534" s="312"/>
      <c r="AH534" s="312"/>
      <c r="AJ534" s="651"/>
    </row>
    <row r="535" spans="1:51" s="305" customFormat="1" ht="13.8" x14ac:dyDescent="0.25">
      <c r="A535" s="658"/>
      <c r="B535" s="312" t="s">
        <v>375</v>
      </c>
      <c r="C535" s="312"/>
      <c r="D535" s="312"/>
      <c r="E535" s="312"/>
      <c r="F535" s="312"/>
      <c r="G535" s="312"/>
      <c r="H535" s="312"/>
      <c r="I535" s="312"/>
      <c r="J535" s="312"/>
      <c r="K535" s="312"/>
      <c r="L535" s="312"/>
      <c r="M535" s="312"/>
      <c r="N535" s="312"/>
      <c r="O535" s="312"/>
      <c r="P535" s="312"/>
      <c r="Q535" s="312"/>
      <c r="R535" s="312"/>
      <c r="S535" s="312"/>
      <c r="T535" s="312"/>
      <c r="U535" s="312"/>
      <c r="V535" s="312"/>
      <c r="W535" s="312"/>
      <c r="X535" s="312"/>
      <c r="Y535" s="312"/>
      <c r="Z535" s="312"/>
      <c r="AA535" s="312"/>
      <c r="AB535" s="312"/>
      <c r="AC535" s="312"/>
      <c r="AD535" s="312"/>
      <c r="AE535" s="312"/>
      <c r="AF535" s="312"/>
      <c r="AG535" s="312"/>
      <c r="AH535" s="312"/>
      <c r="AJ535" s="651"/>
    </row>
    <row r="536" spans="1:51" s="305" customFormat="1" ht="13.8" x14ac:dyDescent="0.25">
      <c r="A536" s="658"/>
      <c r="B536" s="312" t="s">
        <v>376</v>
      </c>
      <c r="C536" s="312"/>
      <c r="D536" s="312"/>
      <c r="E536" s="312"/>
      <c r="F536" s="312"/>
      <c r="G536" s="312"/>
      <c r="H536" s="312"/>
      <c r="I536" s="312"/>
      <c r="J536" s="312"/>
      <c r="K536" s="312"/>
      <c r="L536" s="312"/>
      <c r="M536" s="312"/>
      <c r="N536" s="312"/>
      <c r="O536" s="312"/>
      <c r="P536" s="312"/>
      <c r="Q536" s="312"/>
      <c r="R536" s="312"/>
      <c r="S536" s="312"/>
      <c r="T536" s="312"/>
      <c r="U536" s="312"/>
      <c r="V536" s="312"/>
      <c r="W536" s="312"/>
      <c r="X536" s="312"/>
      <c r="Y536" s="312"/>
      <c r="Z536" s="312"/>
      <c r="AA536" s="312"/>
      <c r="AB536" s="312"/>
      <c r="AC536" s="312"/>
      <c r="AD536" s="312"/>
      <c r="AE536" s="312"/>
      <c r="AF536" s="312"/>
      <c r="AG536" s="312"/>
      <c r="AH536" s="312"/>
      <c r="AJ536" s="651"/>
    </row>
    <row r="537" spans="1:51" s="308" customFormat="1" ht="11.25" customHeight="1" x14ac:dyDescent="0.25">
      <c r="A537" s="326"/>
      <c r="B537" s="326"/>
      <c r="C537" s="326"/>
      <c r="D537" s="326"/>
      <c r="E537" s="326"/>
      <c r="F537" s="326"/>
      <c r="G537" s="326"/>
      <c r="H537" s="326"/>
      <c r="I537" s="326"/>
      <c r="J537" s="326"/>
      <c r="K537" s="326"/>
      <c r="L537" s="326"/>
      <c r="M537" s="326"/>
      <c r="N537" s="326"/>
      <c r="O537" s="326"/>
      <c r="P537" s="326"/>
      <c r="Q537" s="326"/>
      <c r="R537" s="326"/>
      <c r="S537" s="326"/>
      <c r="T537" s="326"/>
      <c r="U537" s="326"/>
      <c r="V537" s="326"/>
      <c r="W537" s="326"/>
      <c r="X537" s="326"/>
      <c r="Y537" s="326"/>
      <c r="Z537" s="326"/>
      <c r="AA537" s="326"/>
      <c r="AB537" s="326"/>
      <c r="AC537" s="326"/>
      <c r="AD537" s="326"/>
      <c r="AE537" s="326"/>
      <c r="AF537" s="326"/>
      <c r="AG537" s="326"/>
      <c r="AH537" s="326"/>
      <c r="AJ537" s="508"/>
      <c r="AK537" s="307"/>
      <c r="AL537" s="307"/>
      <c r="AM537" s="307"/>
      <c r="AN537" s="307"/>
      <c r="AO537" s="307"/>
      <c r="AP537" s="307"/>
      <c r="AQ537" s="307"/>
      <c r="AR537" s="307"/>
      <c r="AS537" s="307"/>
      <c r="AT537" s="307"/>
      <c r="AU537" s="307"/>
      <c r="AV537" s="307"/>
      <c r="AW537" s="307"/>
      <c r="AX537" s="307"/>
      <c r="AY537" s="307"/>
    </row>
    <row r="538" spans="1:51" s="305" customFormat="1" ht="15" customHeight="1" x14ac:dyDescent="0.25">
      <c r="A538" s="1455" t="s">
        <v>377</v>
      </c>
      <c r="B538" s="1455"/>
      <c r="C538" s="1455"/>
      <c r="D538" s="1455"/>
      <c r="E538" s="1455"/>
      <c r="F538" s="1455"/>
      <c r="G538" s="1455"/>
      <c r="H538" s="1455"/>
      <c r="I538" s="1455"/>
      <c r="J538" s="1455"/>
      <c r="K538" s="1455"/>
      <c r="L538" s="1455"/>
      <c r="M538" s="1455"/>
      <c r="N538" s="1455"/>
      <c r="O538" s="1455"/>
      <c r="P538" s="1455"/>
      <c r="Q538" s="1455"/>
      <c r="R538" s="1455"/>
      <c r="S538" s="1455"/>
      <c r="T538" s="1455"/>
      <c r="U538" s="1455"/>
      <c r="V538" s="1455"/>
      <c r="W538" s="1455"/>
      <c r="X538" s="1455"/>
      <c r="Y538" s="1455"/>
      <c r="Z538" s="1455"/>
      <c r="AA538" s="1455"/>
      <c r="AB538" s="1455"/>
      <c r="AC538" s="1455"/>
      <c r="AD538" s="1455"/>
      <c r="AE538" s="1455"/>
      <c r="AF538" s="1455"/>
      <c r="AG538" s="1455"/>
      <c r="AH538" s="1455"/>
      <c r="AJ538" s="651"/>
    </row>
    <row r="539" spans="1:51" s="308" customFormat="1" ht="11.25" customHeight="1" x14ac:dyDescent="0.25">
      <c r="A539" s="326"/>
      <c r="B539" s="326"/>
      <c r="C539" s="326"/>
      <c r="D539" s="326"/>
      <c r="E539" s="326"/>
      <c r="F539" s="326"/>
      <c r="G539" s="326"/>
      <c r="H539" s="326"/>
      <c r="I539" s="326"/>
      <c r="J539" s="326"/>
      <c r="K539" s="326"/>
      <c r="L539" s="326"/>
      <c r="M539" s="326"/>
      <c r="N539" s="326"/>
      <c r="O539" s="326"/>
      <c r="P539" s="326"/>
      <c r="Q539" s="326"/>
      <c r="R539" s="326"/>
      <c r="S539" s="326"/>
      <c r="T539" s="326"/>
      <c r="U539" s="326"/>
      <c r="V539" s="326"/>
      <c r="W539" s="326"/>
      <c r="X539" s="326"/>
      <c r="Y539" s="326"/>
      <c r="Z539" s="326"/>
      <c r="AA539" s="326"/>
      <c r="AB539" s="326"/>
      <c r="AC539" s="326"/>
      <c r="AD539" s="326"/>
      <c r="AE539" s="326"/>
      <c r="AF539" s="326"/>
      <c r="AG539" s="326"/>
      <c r="AH539" s="326"/>
      <c r="AJ539" s="508"/>
      <c r="AK539" s="307"/>
      <c r="AL539" s="307"/>
      <c r="AM539" s="307"/>
      <c r="AN539" s="307"/>
      <c r="AO539" s="307"/>
      <c r="AP539" s="307"/>
      <c r="AQ539" s="307"/>
      <c r="AR539" s="307"/>
      <c r="AS539" s="307"/>
      <c r="AT539" s="307"/>
      <c r="AU539" s="307"/>
      <c r="AV539" s="307"/>
      <c r="AW539" s="307"/>
      <c r="AX539" s="307"/>
      <c r="AY539" s="307"/>
    </row>
    <row r="540" spans="1:51" s="308" customFormat="1" ht="27.75" customHeight="1" x14ac:dyDescent="0.25">
      <c r="A540" s="1454" t="s">
        <v>378</v>
      </c>
      <c r="B540" s="1454"/>
      <c r="C540" s="1454"/>
      <c r="D540" s="1454"/>
      <c r="E540" s="1454"/>
      <c r="F540" s="1454"/>
      <c r="G540" s="1454"/>
      <c r="H540" s="1454"/>
      <c r="I540" s="1454"/>
      <c r="J540" s="1454"/>
      <c r="K540" s="1454"/>
      <c r="L540" s="1454"/>
      <c r="M540" s="1454"/>
      <c r="N540" s="1454"/>
      <c r="O540" s="1454"/>
      <c r="P540" s="1454"/>
      <c r="Q540" s="1454"/>
      <c r="R540" s="1454"/>
      <c r="S540" s="1454"/>
      <c r="T540" s="1454"/>
      <c r="U540" s="1454"/>
      <c r="V540" s="1454"/>
      <c r="W540" s="1454"/>
      <c r="X540" s="1454"/>
      <c r="Y540" s="1454"/>
      <c r="Z540" s="1454"/>
      <c r="AA540" s="1454"/>
      <c r="AB540" s="1454"/>
      <c r="AC540" s="1454"/>
      <c r="AD540" s="1454"/>
      <c r="AE540" s="1454"/>
      <c r="AF540" s="1454"/>
      <c r="AG540" s="1454"/>
      <c r="AH540" s="1454"/>
      <c r="AJ540" s="512"/>
    </row>
    <row r="541" spans="1:51" s="308" customFormat="1" ht="11.25" customHeight="1" x14ac:dyDescent="0.25">
      <c r="A541" s="326"/>
      <c r="B541" s="326"/>
      <c r="C541" s="326"/>
      <c r="D541" s="326"/>
      <c r="E541" s="326"/>
      <c r="F541" s="326"/>
      <c r="G541" s="326"/>
      <c r="H541" s="326"/>
      <c r="I541" s="326"/>
      <c r="J541" s="326"/>
      <c r="K541" s="326"/>
      <c r="L541" s="326"/>
      <c r="M541" s="326"/>
      <c r="N541" s="326"/>
      <c r="O541" s="326"/>
      <c r="P541" s="326"/>
      <c r="Q541" s="326"/>
      <c r="R541" s="326"/>
      <c r="S541" s="326"/>
      <c r="T541" s="326"/>
      <c r="U541" s="326"/>
      <c r="V541" s="326"/>
      <c r="W541" s="326"/>
      <c r="X541" s="326"/>
      <c r="Y541" s="326"/>
      <c r="Z541" s="326"/>
      <c r="AA541" s="326"/>
      <c r="AB541" s="326"/>
      <c r="AC541" s="326"/>
      <c r="AD541" s="326"/>
      <c r="AE541" s="326"/>
      <c r="AF541" s="326"/>
      <c r="AG541" s="326"/>
      <c r="AH541" s="326"/>
      <c r="AJ541" s="508"/>
      <c r="AK541" s="307"/>
      <c r="AL541" s="307"/>
      <c r="AM541" s="307"/>
      <c r="AN541" s="307"/>
      <c r="AO541" s="307"/>
      <c r="AP541" s="307"/>
      <c r="AQ541" s="307"/>
      <c r="AR541" s="307"/>
      <c r="AS541" s="307"/>
      <c r="AT541" s="307"/>
      <c r="AU541" s="307"/>
      <c r="AV541" s="307"/>
      <c r="AW541" s="307"/>
      <c r="AX541" s="307"/>
      <c r="AY541" s="307"/>
    </row>
    <row r="542" spans="1:51" s="305" customFormat="1" ht="14.25" customHeight="1" x14ac:dyDescent="0.25">
      <c r="A542" s="327"/>
      <c r="B542" s="327"/>
      <c r="C542" s="327"/>
      <c r="D542" s="327"/>
      <c r="E542" s="327"/>
      <c r="F542" s="327"/>
      <c r="G542" s="327"/>
      <c r="H542" s="327"/>
      <c r="I542" s="327"/>
      <c r="J542" s="327"/>
      <c r="K542" s="327"/>
      <c r="L542" s="327"/>
      <c r="M542" s="327"/>
      <c r="N542" s="327"/>
      <c r="O542" s="327"/>
      <c r="P542" s="327"/>
      <c r="Q542" s="327"/>
      <c r="R542" s="327"/>
      <c r="S542" s="327"/>
      <c r="T542" s="327"/>
      <c r="U542" s="327"/>
      <c r="V542" s="327"/>
      <c r="W542" s="327"/>
      <c r="X542" s="327"/>
      <c r="Y542" s="1471" t="s">
        <v>379</v>
      </c>
      <c r="Z542" s="1471"/>
      <c r="AA542" s="327"/>
      <c r="AB542" s="327"/>
      <c r="AC542" s="327"/>
      <c r="AD542" s="327"/>
      <c r="AE542" s="327"/>
      <c r="AF542" s="327"/>
      <c r="AG542" s="327"/>
      <c r="AH542" s="327"/>
      <c r="AJ542" s="651"/>
    </row>
    <row r="543" spans="1:51" s="308" customFormat="1" ht="11.25" customHeight="1" x14ac:dyDescent="0.25">
      <c r="A543" s="326"/>
      <c r="B543" s="326"/>
      <c r="C543" s="326"/>
      <c r="D543" s="326"/>
      <c r="E543" s="326"/>
      <c r="F543" s="326"/>
      <c r="G543" s="326"/>
      <c r="H543" s="326"/>
      <c r="I543" s="326"/>
      <c r="J543" s="326"/>
      <c r="K543" s="326"/>
      <c r="L543" s="326"/>
      <c r="M543" s="326"/>
      <c r="N543" s="326"/>
      <c r="O543" s="326"/>
      <c r="P543" s="326"/>
      <c r="Q543" s="326"/>
      <c r="R543" s="326"/>
      <c r="S543" s="326"/>
      <c r="T543" s="326"/>
      <c r="U543" s="326"/>
      <c r="V543" s="326"/>
      <c r="W543" s="326"/>
      <c r="X543" s="326"/>
      <c r="Y543" s="326"/>
      <c r="Z543" s="326"/>
      <c r="AA543" s="326"/>
      <c r="AB543" s="326"/>
      <c r="AC543" s="326"/>
      <c r="AD543" s="326"/>
      <c r="AE543" s="326"/>
      <c r="AF543" s="326"/>
      <c r="AG543" s="326"/>
      <c r="AH543" s="326"/>
      <c r="AJ543" s="508"/>
      <c r="AK543" s="307"/>
      <c r="AL543" s="307"/>
      <c r="AM543" s="307"/>
      <c r="AN543" s="307"/>
      <c r="AO543" s="307"/>
      <c r="AP543" s="307"/>
      <c r="AQ543" s="307"/>
      <c r="AR543" s="307"/>
      <c r="AS543" s="307"/>
      <c r="AT543" s="307"/>
      <c r="AU543" s="307"/>
      <c r="AV543" s="307"/>
      <c r="AW543" s="307"/>
      <c r="AX543" s="307"/>
      <c r="AY543" s="307"/>
    </row>
    <row r="544" spans="1:51" s="308" customFormat="1" ht="14.25" customHeight="1" x14ac:dyDescent="0.25">
      <c r="A544" s="1455" t="s">
        <v>380</v>
      </c>
      <c r="B544" s="1455" t="s">
        <v>381</v>
      </c>
      <c r="C544" s="1455"/>
      <c r="D544" s="1455"/>
      <c r="E544" s="1455"/>
      <c r="F544" s="1455"/>
      <c r="G544" s="1455"/>
      <c r="H544" s="1455"/>
      <c r="I544" s="1455"/>
      <c r="J544" s="1455"/>
      <c r="K544" s="1455"/>
      <c r="L544" s="1455"/>
      <c r="M544" s="1455"/>
      <c r="N544" s="1455"/>
      <c r="O544" s="1455"/>
      <c r="P544" s="1455"/>
      <c r="Q544" s="1455"/>
      <c r="R544" s="1455"/>
      <c r="S544" s="1455"/>
      <c r="T544" s="1455"/>
      <c r="U544" s="1455"/>
      <c r="V544" s="1455"/>
      <c r="W544" s="1455"/>
      <c r="X544" s="1455"/>
      <c r="Y544" s="1455"/>
      <c r="Z544" s="1455"/>
      <c r="AA544" s="1455"/>
      <c r="AB544" s="1455"/>
      <c r="AC544" s="1455"/>
      <c r="AD544" s="1455"/>
      <c r="AE544" s="1455"/>
      <c r="AF544" s="1455"/>
      <c r="AG544" s="1455"/>
      <c r="AH544" s="1455"/>
      <c r="AJ544" s="512"/>
    </row>
    <row r="545" spans="1:51" s="308" customFormat="1" ht="27.75" customHeight="1" x14ac:dyDescent="0.25">
      <c r="A545" s="1454" t="s">
        <v>382</v>
      </c>
      <c r="B545" s="1454" t="s">
        <v>383</v>
      </c>
      <c r="C545" s="1454"/>
      <c r="D545" s="1454"/>
      <c r="E545" s="1454"/>
      <c r="F545" s="1454"/>
      <c r="G545" s="1454"/>
      <c r="H545" s="1454"/>
      <c r="I545" s="1454"/>
      <c r="J545" s="1454"/>
      <c r="K545" s="1454"/>
      <c r="L545" s="1454"/>
      <c r="M545" s="1454"/>
      <c r="N545" s="1454"/>
      <c r="O545" s="1454"/>
      <c r="P545" s="1454"/>
      <c r="Q545" s="1454"/>
      <c r="R545" s="1454"/>
      <c r="S545" s="1454"/>
      <c r="T545" s="1454"/>
      <c r="U545" s="1454"/>
      <c r="V545" s="1454"/>
      <c r="W545" s="1454"/>
      <c r="X545" s="1454"/>
      <c r="Y545" s="1454"/>
      <c r="Z545" s="1454"/>
      <c r="AA545" s="1454"/>
      <c r="AB545" s="1454"/>
      <c r="AC545" s="1454"/>
      <c r="AD545" s="1454"/>
      <c r="AE545" s="1454"/>
      <c r="AF545" s="1454"/>
      <c r="AG545" s="1454"/>
      <c r="AH545" s="1454"/>
      <c r="AJ545" s="512"/>
    </row>
    <row r="546" spans="1:51" s="308" customFormat="1" ht="11.25" customHeight="1" x14ac:dyDescent="0.25">
      <c r="A546" s="326"/>
      <c r="B546" s="326"/>
      <c r="C546" s="326"/>
      <c r="D546" s="326"/>
      <c r="E546" s="326"/>
      <c r="F546" s="326"/>
      <c r="G546" s="326"/>
      <c r="H546" s="326"/>
      <c r="I546" s="326"/>
      <c r="J546" s="326"/>
      <c r="K546" s="326"/>
      <c r="L546" s="326"/>
      <c r="M546" s="326"/>
      <c r="N546" s="326"/>
      <c r="O546" s="326"/>
      <c r="P546" s="326"/>
      <c r="Q546" s="326"/>
      <c r="R546" s="326"/>
      <c r="S546" s="326"/>
      <c r="T546" s="326"/>
      <c r="U546" s="326"/>
      <c r="V546" s="326"/>
      <c r="W546" s="326"/>
      <c r="X546" s="326"/>
      <c r="Y546" s="326"/>
      <c r="Z546" s="326"/>
      <c r="AA546" s="326"/>
      <c r="AB546" s="326"/>
      <c r="AC546" s="326"/>
      <c r="AD546" s="326"/>
      <c r="AE546" s="326"/>
      <c r="AF546" s="326"/>
      <c r="AG546" s="326"/>
      <c r="AH546" s="326"/>
      <c r="AJ546" s="508"/>
      <c r="AK546" s="307"/>
      <c r="AL546" s="307"/>
      <c r="AM546" s="307"/>
      <c r="AN546" s="307"/>
      <c r="AO546" s="307"/>
      <c r="AP546" s="307"/>
      <c r="AQ546" s="307"/>
      <c r="AR546" s="307"/>
      <c r="AS546" s="307"/>
      <c r="AT546" s="307"/>
      <c r="AU546" s="307"/>
      <c r="AV546" s="307"/>
      <c r="AW546" s="307"/>
      <c r="AX546" s="307"/>
      <c r="AY546" s="307"/>
    </row>
    <row r="547" spans="1:51" s="305" customFormat="1" ht="14.25" customHeight="1" x14ac:dyDescent="0.25">
      <c r="A547" s="327"/>
      <c r="B547" s="327"/>
      <c r="C547" s="327"/>
      <c r="D547" s="327"/>
      <c r="E547" s="327"/>
      <c r="F547" s="327"/>
      <c r="G547" s="327"/>
      <c r="H547" s="327"/>
      <c r="I547" s="327"/>
      <c r="J547" s="327"/>
      <c r="K547" s="327"/>
      <c r="L547" s="327"/>
      <c r="M547" s="327"/>
      <c r="N547" s="327"/>
      <c r="O547" s="327"/>
      <c r="P547" s="327"/>
      <c r="Q547" s="327"/>
      <c r="R547" s="327"/>
      <c r="S547" s="327"/>
      <c r="T547" s="327"/>
      <c r="U547" s="327"/>
      <c r="V547" s="327"/>
      <c r="W547" s="327"/>
      <c r="X547" s="327"/>
      <c r="Y547" s="1471" t="s">
        <v>384</v>
      </c>
      <c r="Z547" s="1471"/>
      <c r="AA547" s="327"/>
      <c r="AB547" s="327"/>
      <c r="AC547" s="327"/>
      <c r="AD547" s="327"/>
      <c r="AE547" s="327"/>
      <c r="AF547" s="327"/>
      <c r="AG547" s="327"/>
      <c r="AH547" s="327"/>
      <c r="AJ547" s="651"/>
    </row>
    <row r="548" spans="1:51" s="308" customFormat="1" ht="11.25" customHeight="1" x14ac:dyDescent="0.25">
      <c r="A548" s="326"/>
      <c r="B548" s="326"/>
      <c r="C548" s="326"/>
      <c r="D548" s="326"/>
      <c r="E548" s="326"/>
      <c r="F548" s="326"/>
      <c r="G548" s="326"/>
      <c r="H548" s="326"/>
      <c r="I548" s="326"/>
      <c r="J548" s="326"/>
      <c r="K548" s="326"/>
      <c r="L548" s="326"/>
      <c r="M548" s="326"/>
      <c r="N548" s="326"/>
      <c r="O548" s="326"/>
      <c r="P548" s="326"/>
      <c r="Q548" s="326"/>
      <c r="R548" s="326"/>
      <c r="S548" s="326"/>
      <c r="T548" s="326"/>
      <c r="U548" s="326"/>
      <c r="V548" s="326"/>
      <c r="W548" s="326"/>
      <c r="X548" s="326"/>
      <c r="Y548" s="326"/>
      <c r="Z548" s="326"/>
      <c r="AA548" s="326"/>
      <c r="AB548" s="326"/>
      <c r="AC548" s="326"/>
      <c r="AD548" s="326"/>
      <c r="AE548" s="326"/>
      <c r="AF548" s="326"/>
      <c r="AG548" s="326"/>
      <c r="AH548" s="326"/>
      <c r="AJ548" s="508"/>
      <c r="AK548" s="307"/>
      <c r="AL548" s="307"/>
      <c r="AM548" s="307"/>
      <c r="AN548" s="307"/>
      <c r="AO548" s="307"/>
      <c r="AP548" s="307"/>
      <c r="AQ548" s="307"/>
      <c r="AR548" s="307"/>
      <c r="AS548" s="307"/>
      <c r="AT548" s="307"/>
      <c r="AU548" s="307"/>
      <c r="AV548" s="307"/>
      <c r="AW548" s="307"/>
      <c r="AX548" s="307"/>
      <c r="AY548" s="307"/>
    </row>
    <row r="549" spans="1:51" s="308" customFormat="1" ht="14.25" customHeight="1" x14ac:dyDescent="0.25">
      <c r="A549" s="1455" t="s">
        <v>319</v>
      </c>
      <c r="B549" s="1455" t="s">
        <v>320</v>
      </c>
      <c r="C549" s="1455"/>
      <c r="D549" s="1455"/>
      <c r="E549" s="1455"/>
      <c r="F549" s="1455"/>
      <c r="G549" s="1455"/>
      <c r="H549" s="1455"/>
      <c r="I549" s="1455"/>
      <c r="J549" s="1455"/>
      <c r="K549" s="1455"/>
      <c r="L549" s="1455"/>
      <c r="M549" s="1455"/>
      <c r="N549" s="1455"/>
      <c r="O549" s="1455"/>
      <c r="P549" s="1455"/>
      <c r="Q549" s="1455"/>
      <c r="R549" s="1455"/>
      <c r="S549" s="1455"/>
      <c r="T549" s="1455"/>
      <c r="U549" s="1455"/>
      <c r="V549" s="1455"/>
      <c r="W549" s="1455"/>
      <c r="X549" s="1455"/>
      <c r="Y549" s="1455"/>
      <c r="Z549" s="1455"/>
      <c r="AA549" s="1455"/>
      <c r="AB549" s="1455"/>
      <c r="AC549" s="1455"/>
      <c r="AD549" s="1455"/>
      <c r="AE549" s="1455"/>
      <c r="AF549" s="1455"/>
      <c r="AG549" s="1455"/>
      <c r="AH549" s="1455"/>
      <c r="AJ549" s="512"/>
    </row>
    <row r="550" spans="1:51" s="308" customFormat="1" ht="14.25" customHeight="1" x14ac:dyDescent="0.25">
      <c r="A550" s="1455" t="s">
        <v>385</v>
      </c>
      <c r="B550" s="1455" t="s">
        <v>325</v>
      </c>
      <c r="C550" s="1455"/>
      <c r="D550" s="1455"/>
      <c r="E550" s="1455"/>
      <c r="F550" s="1455"/>
      <c r="G550" s="1455"/>
      <c r="H550" s="1455"/>
      <c r="I550" s="1455"/>
      <c r="J550" s="1455"/>
      <c r="K550" s="1455"/>
      <c r="L550" s="1455"/>
      <c r="M550" s="1455"/>
      <c r="N550" s="1455"/>
      <c r="O550" s="1455"/>
      <c r="P550" s="1455"/>
      <c r="Q550" s="1455"/>
      <c r="R550" s="1455"/>
      <c r="S550" s="1455"/>
      <c r="T550" s="1455"/>
      <c r="U550" s="1455"/>
      <c r="V550" s="1455"/>
      <c r="W550" s="1455"/>
      <c r="X550" s="1455"/>
      <c r="Y550" s="1455"/>
      <c r="Z550" s="1455"/>
      <c r="AA550" s="1455"/>
      <c r="AB550" s="1455"/>
      <c r="AC550" s="1455"/>
      <c r="AD550" s="1455"/>
      <c r="AE550" s="1455"/>
      <c r="AF550" s="1455"/>
      <c r="AG550" s="1455"/>
      <c r="AH550" s="1455"/>
      <c r="AJ550" s="512"/>
    </row>
    <row r="551" spans="1:51" s="308" customFormat="1" ht="14.25" customHeight="1" x14ac:dyDescent="0.25">
      <c r="A551" s="1486" t="s">
        <v>386</v>
      </c>
      <c r="B551" s="1486" t="s">
        <v>387</v>
      </c>
      <c r="C551" s="1486"/>
      <c r="D551" s="1486"/>
      <c r="E551" s="1486"/>
      <c r="F551" s="1486"/>
      <c r="G551" s="1486"/>
      <c r="H551" s="1486"/>
      <c r="I551" s="1486"/>
      <c r="J551" s="1486"/>
      <c r="K551" s="1486"/>
      <c r="L551" s="1486"/>
      <c r="M551" s="1486"/>
      <c r="N551" s="1486"/>
      <c r="O551" s="1486"/>
      <c r="P551" s="1486"/>
      <c r="Q551" s="1486"/>
      <c r="R551" s="1486"/>
      <c r="S551" s="1486"/>
      <c r="T551" s="1486"/>
      <c r="U551" s="1486"/>
      <c r="V551" s="1486"/>
      <c r="W551" s="1486"/>
      <c r="X551" s="1486"/>
      <c r="Y551" s="1486"/>
      <c r="Z551" s="1486"/>
      <c r="AA551" s="1486"/>
      <c r="AB551" s="1486"/>
      <c r="AC551" s="1486"/>
      <c r="AD551" s="1486"/>
      <c r="AE551" s="1486"/>
      <c r="AF551" s="1486"/>
      <c r="AG551" s="1486"/>
      <c r="AH551" s="1486"/>
      <c r="AJ551" s="512"/>
    </row>
    <row r="552" spans="1:51" s="308" customFormat="1" ht="27.75" customHeight="1" x14ac:dyDescent="0.25">
      <c r="A552" s="1454" t="s">
        <v>388</v>
      </c>
      <c r="B552" s="1454" t="s">
        <v>317</v>
      </c>
      <c r="C552" s="1454"/>
      <c r="D552" s="1454"/>
      <c r="E552" s="1454"/>
      <c r="F552" s="1454"/>
      <c r="G552" s="1454"/>
      <c r="H552" s="1454"/>
      <c r="I552" s="1454"/>
      <c r="J552" s="1454"/>
      <c r="K552" s="1454"/>
      <c r="L552" s="1454"/>
      <c r="M552" s="1454"/>
      <c r="N552" s="1454"/>
      <c r="O552" s="1454"/>
      <c r="P552" s="1454"/>
      <c r="Q552" s="1454"/>
      <c r="R552" s="1454"/>
      <c r="S552" s="1454"/>
      <c r="T552" s="1454"/>
      <c r="U552" s="1454"/>
      <c r="V552" s="1454"/>
      <c r="W552" s="1454"/>
      <c r="X552" s="1454"/>
      <c r="Y552" s="1454"/>
      <c r="Z552" s="1454"/>
      <c r="AA552" s="1454"/>
      <c r="AB552" s="1454"/>
      <c r="AC552" s="1454"/>
      <c r="AD552" s="1454"/>
      <c r="AE552" s="1454"/>
      <c r="AF552" s="1454"/>
      <c r="AG552" s="1454"/>
      <c r="AH552" s="1454"/>
      <c r="AJ552" s="512"/>
    </row>
    <row r="553" spans="1:51" s="308" customFormat="1" ht="11.25" customHeight="1" x14ac:dyDescent="0.25">
      <c r="A553" s="326"/>
      <c r="B553" s="326"/>
      <c r="C553" s="326"/>
      <c r="D553" s="326"/>
      <c r="E553" s="326"/>
      <c r="F553" s="326"/>
      <c r="G553" s="326"/>
      <c r="H553" s="326"/>
      <c r="I553" s="326"/>
      <c r="J553" s="326"/>
      <c r="K553" s="326"/>
      <c r="L553" s="326"/>
      <c r="M553" s="326"/>
      <c r="N553" s="326"/>
      <c r="O553" s="326"/>
      <c r="P553" s="326"/>
      <c r="Q553" s="326"/>
      <c r="R553" s="326"/>
      <c r="S553" s="326"/>
      <c r="T553" s="326"/>
      <c r="U553" s="326"/>
      <c r="V553" s="326"/>
      <c r="W553" s="326"/>
      <c r="X553" s="326"/>
      <c r="Y553" s="326"/>
      <c r="Z553" s="326"/>
      <c r="AA553" s="326"/>
      <c r="AB553" s="326"/>
      <c r="AC553" s="326"/>
      <c r="AD553" s="326"/>
      <c r="AE553" s="326"/>
      <c r="AF553" s="326"/>
      <c r="AG553" s="326"/>
      <c r="AH553" s="326"/>
      <c r="AJ553" s="508"/>
      <c r="AK553" s="307"/>
      <c r="AL553" s="307"/>
      <c r="AM553" s="307"/>
      <c r="AN553" s="307"/>
      <c r="AO553" s="307"/>
      <c r="AP553" s="307"/>
      <c r="AQ553" s="307"/>
      <c r="AR553" s="307"/>
      <c r="AS553" s="307"/>
      <c r="AT553" s="307"/>
      <c r="AU553" s="307"/>
      <c r="AV553" s="307"/>
      <c r="AW553" s="307"/>
      <c r="AX553" s="307"/>
      <c r="AY553" s="307"/>
    </row>
    <row r="554" spans="1:51" s="305" customFormat="1" ht="27" customHeight="1" x14ac:dyDescent="0.25">
      <c r="A554" s="327"/>
      <c r="B554" s="327"/>
      <c r="C554" s="327"/>
      <c r="D554" s="327"/>
      <c r="E554" s="327"/>
      <c r="F554" s="327"/>
      <c r="G554" s="327"/>
      <c r="H554" s="327"/>
      <c r="I554" s="327"/>
      <c r="J554" s="327"/>
      <c r="K554" s="327"/>
      <c r="L554" s="327"/>
      <c r="M554" s="327"/>
      <c r="N554" s="327"/>
      <c r="O554" s="327"/>
      <c r="P554" s="327"/>
      <c r="Q554" s="327"/>
      <c r="R554" s="327"/>
      <c r="S554" s="327"/>
      <c r="T554" s="327"/>
      <c r="U554" s="327"/>
      <c r="V554" s="327"/>
      <c r="W554" s="327"/>
      <c r="X554" s="327"/>
      <c r="Y554" s="1471" t="s">
        <v>389</v>
      </c>
      <c r="Z554" s="1471"/>
      <c r="AA554" s="327"/>
      <c r="AB554" s="327"/>
      <c r="AC554" s="327"/>
      <c r="AD554" s="327"/>
      <c r="AE554" s="327"/>
      <c r="AF554" s="327"/>
      <c r="AG554" s="327"/>
      <c r="AH554" s="327"/>
      <c r="AI554" s="305">
        <v>27</v>
      </c>
      <c r="AJ554" s="651"/>
    </row>
    <row r="555" spans="1:51" s="308" customFormat="1" ht="11.25" customHeight="1" x14ac:dyDescent="0.25">
      <c r="A555" s="326"/>
      <c r="B555" s="326"/>
      <c r="C555" s="326"/>
      <c r="D555" s="326"/>
      <c r="E555" s="326"/>
      <c r="F555" s="326"/>
      <c r="G555" s="326"/>
      <c r="H555" s="326"/>
      <c r="I555" s="326"/>
      <c r="J555" s="326"/>
      <c r="K555" s="326"/>
      <c r="L555" s="326"/>
      <c r="M555" s="326"/>
      <c r="N555" s="326"/>
      <c r="O555" s="326"/>
      <c r="P555" s="326"/>
      <c r="Q555" s="326"/>
      <c r="R555" s="326"/>
      <c r="S555" s="326"/>
      <c r="T555" s="326"/>
      <c r="U555" s="326"/>
      <c r="V555" s="326"/>
      <c r="W555" s="326"/>
      <c r="X555" s="326"/>
      <c r="Y555" s="326"/>
      <c r="Z555" s="326"/>
      <c r="AA555" s="326"/>
      <c r="AB555" s="326"/>
      <c r="AC555" s="326"/>
      <c r="AD555" s="326"/>
      <c r="AE555" s="326"/>
      <c r="AF555" s="326"/>
      <c r="AG555" s="326"/>
      <c r="AH555" s="326"/>
      <c r="AJ555" s="508"/>
      <c r="AK555" s="307"/>
      <c r="AL555" s="307"/>
      <c r="AM555" s="307"/>
      <c r="AN555" s="307"/>
      <c r="AO555" s="307"/>
      <c r="AP555" s="307"/>
      <c r="AQ555" s="307"/>
      <c r="AR555" s="307"/>
      <c r="AS555" s="307"/>
      <c r="AT555" s="307"/>
      <c r="AU555" s="307"/>
      <c r="AV555" s="307"/>
      <c r="AW555" s="307"/>
      <c r="AX555" s="307"/>
      <c r="AY555" s="307"/>
    </row>
    <row r="556" spans="1:51" s="305" customFormat="1" ht="15" customHeight="1" x14ac:dyDescent="0.25">
      <c r="A556" s="1455" t="s">
        <v>390</v>
      </c>
      <c r="B556" s="1455"/>
      <c r="C556" s="1455" t="s">
        <v>391</v>
      </c>
      <c r="D556" s="1455"/>
      <c r="E556" s="1455"/>
      <c r="F556" s="1455"/>
      <c r="G556" s="1455"/>
      <c r="H556" s="1455"/>
      <c r="I556" s="1455"/>
      <c r="J556" s="1455"/>
      <c r="K556" s="1455"/>
      <c r="L556" s="1455"/>
      <c r="M556" s="1455"/>
      <c r="N556" s="1455"/>
      <c r="O556" s="1455"/>
      <c r="P556" s="1455"/>
      <c r="Q556" s="1455"/>
      <c r="R556" s="1455"/>
      <c r="S556" s="1455"/>
      <c r="T556" s="1455"/>
      <c r="U556" s="1455"/>
      <c r="V556" s="1455"/>
      <c r="W556" s="1455"/>
      <c r="X556" s="1455"/>
      <c r="Y556" s="1455"/>
      <c r="Z556" s="1455"/>
      <c r="AA556" s="1455"/>
      <c r="AB556" s="1455"/>
      <c r="AC556" s="1455"/>
      <c r="AD556" s="1455"/>
      <c r="AE556" s="1455"/>
      <c r="AF556" s="1455"/>
      <c r="AG556" s="1455"/>
      <c r="AH556" s="1455"/>
      <c r="AJ556" s="651"/>
    </row>
    <row r="557" spans="1:51" s="308" customFormat="1" ht="11.25" customHeight="1" x14ac:dyDescent="0.25">
      <c r="A557" s="326"/>
      <c r="B557" s="326"/>
      <c r="C557" s="326"/>
      <c r="D557" s="326"/>
      <c r="E557" s="326"/>
      <c r="F557" s="326"/>
      <c r="G557" s="326"/>
      <c r="H557" s="326"/>
      <c r="I557" s="326"/>
      <c r="J557" s="326"/>
      <c r="K557" s="326"/>
      <c r="L557" s="326"/>
      <c r="M557" s="326"/>
      <c r="N557" s="326"/>
      <c r="O557" s="326"/>
      <c r="P557" s="326"/>
      <c r="Q557" s="326"/>
      <c r="R557" s="326"/>
      <c r="S557" s="326"/>
      <c r="T557" s="326"/>
      <c r="U557" s="326"/>
      <c r="V557" s="326"/>
      <c r="W557" s="326"/>
      <c r="X557" s="326"/>
      <c r="Y557" s="326"/>
      <c r="Z557" s="326"/>
      <c r="AA557" s="326"/>
      <c r="AB557" s="326"/>
      <c r="AC557" s="326"/>
      <c r="AD557" s="326"/>
      <c r="AE557" s="326"/>
      <c r="AF557" s="326"/>
      <c r="AG557" s="326"/>
      <c r="AH557" s="326"/>
      <c r="AJ557" s="508"/>
      <c r="AK557" s="307"/>
      <c r="AL557" s="307"/>
      <c r="AM557" s="307"/>
      <c r="AN557" s="307"/>
      <c r="AO557" s="307"/>
      <c r="AP557" s="307"/>
      <c r="AQ557" s="307"/>
      <c r="AR557" s="307"/>
      <c r="AS557" s="307"/>
      <c r="AT557" s="307"/>
      <c r="AU557" s="307"/>
      <c r="AV557" s="307"/>
      <c r="AW557" s="307"/>
      <c r="AX557" s="307"/>
      <c r="AY557" s="307"/>
    </row>
    <row r="558" spans="1:51" s="308" customFormat="1" ht="86.25" customHeight="1" x14ac:dyDescent="0.25">
      <c r="A558" s="1454" t="s">
        <v>392</v>
      </c>
      <c r="B558" s="1454"/>
      <c r="C558" s="1454"/>
      <c r="D558" s="1454"/>
      <c r="E558" s="1454"/>
      <c r="F558" s="1454"/>
      <c r="G558" s="1454"/>
      <c r="H558" s="1454"/>
      <c r="I558" s="1454"/>
      <c r="J558" s="1454"/>
      <c r="K558" s="1454"/>
      <c r="L558" s="1454"/>
      <c r="M558" s="1454"/>
      <c r="N558" s="1454"/>
      <c r="O558" s="1454"/>
      <c r="P558" s="1454"/>
      <c r="Q558" s="1454"/>
      <c r="R558" s="1454"/>
      <c r="S558" s="1454"/>
      <c r="T558" s="1454"/>
      <c r="U558" s="1454"/>
      <c r="V558" s="1454"/>
      <c r="W558" s="1454"/>
      <c r="X558" s="1454"/>
      <c r="Y558" s="1454"/>
      <c r="Z558" s="1454"/>
      <c r="AA558" s="1454"/>
      <c r="AB558" s="1454"/>
      <c r="AC558" s="1454"/>
      <c r="AD558" s="1454"/>
      <c r="AE558" s="1454"/>
      <c r="AF558" s="1454"/>
      <c r="AG558" s="1454"/>
      <c r="AH558" s="1454"/>
      <c r="AJ558" s="512"/>
    </row>
    <row r="559" spans="1:51" ht="19.5" customHeight="1" x14ac:dyDescent="0.25">
      <c r="AJ559" s="652"/>
    </row>
    <row r="560" spans="1:51" s="308" customFormat="1" ht="18" customHeight="1" x14ac:dyDescent="0.25">
      <c r="A560" s="1428" t="s">
        <v>393</v>
      </c>
      <c r="B560" s="1428"/>
      <c r="C560" s="1428"/>
      <c r="D560" s="1428"/>
      <c r="E560" s="1428"/>
      <c r="F560" s="1428"/>
      <c r="G560" s="1428"/>
      <c r="H560" s="1428"/>
      <c r="I560" s="1428"/>
      <c r="J560" s="1428"/>
      <c r="K560" s="1428"/>
      <c r="L560" s="1428"/>
      <c r="M560" s="1428"/>
      <c r="N560" s="1428"/>
      <c r="O560" s="1428"/>
      <c r="P560" s="1428"/>
      <c r="Q560" s="1428"/>
      <c r="R560" s="1428"/>
      <c r="S560" s="1428"/>
      <c r="T560" s="1428"/>
      <c r="U560" s="1428"/>
      <c r="V560" s="1428"/>
      <c r="W560" s="1428"/>
      <c r="X560" s="1428"/>
      <c r="Y560" s="1428"/>
      <c r="Z560" s="1428"/>
      <c r="AA560" s="1428"/>
      <c r="AB560" s="1428"/>
      <c r="AC560" s="1428"/>
      <c r="AD560" s="1428"/>
      <c r="AE560" s="1428"/>
      <c r="AF560" s="1428"/>
      <c r="AG560" s="1428"/>
      <c r="AH560" s="1428"/>
      <c r="AJ560" s="512"/>
    </row>
    <row r="561" spans="1:51" s="308" customFormat="1" ht="11.25" customHeight="1" x14ac:dyDescent="0.25">
      <c r="A561" s="326"/>
      <c r="B561" s="326"/>
      <c r="C561" s="326"/>
      <c r="D561" s="326"/>
      <c r="E561" s="326"/>
      <c r="F561" s="326"/>
      <c r="G561" s="326"/>
      <c r="H561" s="326"/>
      <c r="I561" s="326"/>
      <c r="J561" s="326"/>
      <c r="K561" s="326"/>
      <c r="L561" s="326"/>
      <c r="M561" s="326"/>
      <c r="N561" s="326"/>
      <c r="O561" s="326"/>
      <c r="P561" s="326"/>
      <c r="Q561" s="326"/>
      <c r="R561" s="326"/>
      <c r="S561" s="326"/>
      <c r="T561" s="326"/>
      <c r="U561" s="326"/>
      <c r="V561" s="326"/>
      <c r="W561" s="326"/>
      <c r="X561" s="326"/>
      <c r="Y561" s="326"/>
      <c r="Z561" s="326"/>
      <c r="AA561" s="326"/>
      <c r="AB561" s="326"/>
      <c r="AC561" s="326"/>
      <c r="AD561" s="326"/>
      <c r="AE561" s="326"/>
      <c r="AF561" s="326"/>
      <c r="AG561" s="326"/>
      <c r="AH561" s="326"/>
      <c r="AJ561" s="508"/>
      <c r="AK561" s="307"/>
      <c r="AL561" s="307"/>
      <c r="AM561" s="307"/>
      <c r="AN561" s="307"/>
      <c r="AO561" s="307"/>
      <c r="AP561" s="307"/>
      <c r="AQ561" s="307"/>
      <c r="AR561" s="307"/>
      <c r="AS561" s="307"/>
      <c r="AT561" s="307"/>
      <c r="AU561" s="307"/>
      <c r="AV561" s="307"/>
      <c r="AW561" s="307"/>
      <c r="AX561" s="307"/>
      <c r="AY561" s="307"/>
    </row>
    <row r="562" spans="1:51" s="305" customFormat="1" ht="15" customHeight="1" x14ac:dyDescent="0.25">
      <c r="A562" s="1455" t="s">
        <v>394</v>
      </c>
      <c r="B562" s="1455"/>
      <c r="C562" s="1455" t="s">
        <v>391</v>
      </c>
      <c r="D562" s="1455"/>
      <c r="E562" s="1455"/>
      <c r="F562" s="1455"/>
      <c r="G562" s="1455"/>
      <c r="H562" s="1455"/>
      <c r="I562" s="1455"/>
      <c r="J562" s="1455"/>
      <c r="K562" s="1455"/>
      <c r="L562" s="1455"/>
      <c r="M562" s="1455"/>
      <c r="N562" s="1455"/>
      <c r="O562" s="1455"/>
      <c r="P562" s="1455"/>
      <c r="Q562" s="1455"/>
      <c r="R562" s="1455"/>
      <c r="S562" s="1455"/>
      <c r="T562" s="1455"/>
      <c r="U562" s="1455"/>
      <c r="V562" s="1455"/>
      <c r="W562" s="1455"/>
      <c r="X562" s="1455"/>
      <c r="Y562" s="1455"/>
      <c r="Z562" s="1455"/>
      <c r="AA562" s="1455"/>
      <c r="AB562" s="1455"/>
      <c r="AC562" s="1455"/>
      <c r="AD562" s="1455"/>
      <c r="AE562" s="1455"/>
      <c r="AF562" s="1455"/>
      <c r="AG562" s="1455"/>
      <c r="AH562" s="1455"/>
      <c r="AJ562" s="651"/>
    </row>
    <row r="563" spans="1:51" s="308" customFormat="1" ht="11.25" customHeight="1" x14ac:dyDescent="0.25">
      <c r="A563" s="326"/>
      <c r="B563" s="326"/>
      <c r="C563" s="326"/>
      <c r="D563" s="326"/>
      <c r="E563" s="326"/>
      <c r="F563" s="326"/>
      <c r="G563" s="326"/>
      <c r="H563" s="326"/>
      <c r="I563" s="326"/>
      <c r="J563" s="326"/>
      <c r="K563" s="326"/>
      <c r="L563" s="326"/>
      <c r="M563" s="326"/>
      <c r="N563" s="326"/>
      <c r="O563" s="326"/>
      <c r="P563" s="326"/>
      <c r="Q563" s="326"/>
      <c r="R563" s="326"/>
      <c r="S563" s="326"/>
      <c r="T563" s="326"/>
      <c r="U563" s="326"/>
      <c r="V563" s="326"/>
      <c r="W563" s="326"/>
      <c r="X563" s="326"/>
      <c r="Y563" s="326"/>
      <c r="Z563" s="326"/>
      <c r="AA563" s="326"/>
      <c r="AB563" s="326"/>
      <c r="AC563" s="326"/>
      <c r="AD563" s="326"/>
      <c r="AE563" s="326"/>
      <c r="AF563" s="326"/>
      <c r="AG563" s="326"/>
      <c r="AH563" s="326"/>
      <c r="AJ563" s="508"/>
      <c r="AK563" s="307"/>
      <c r="AL563" s="307"/>
      <c r="AM563" s="307"/>
      <c r="AN563" s="307"/>
      <c r="AO563" s="307"/>
      <c r="AP563" s="307"/>
      <c r="AQ563" s="307"/>
      <c r="AR563" s="307"/>
      <c r="AS563" s="307"/>
      <c r="AT563" s="307"/>
      <c r="AU563" s="307"/>
      <c r="AV563" s="307"/>
      <c r="AW563" s="307"/>
      <c r="AX563" s="307"/>
      <c r="AY563" s="307"/>
    </row>
    <row r="564" spans="1:51" s="308" customFormat="1" ht="27.75" customHeight="1" x14ac:dyDescent="0.25">
      <c r="A564" s="1454" t="s">
        <v>395</v>
      </c>
      <c r="B564" s="1454"/>
      <c r="C564" s="1454"/>
      <c r="D564" s="1454"/>
      <c r="E564" s="1454"/>
      <c r="F564" s="1454"/>
      <c r="G564" s="1454"/>
      <c r="H564" s="1454"/>
      <c r="I564" s="1454"/>
      <c r="J564" s="1454"/>
      <c r="K564" s="1454"/>
      <c r="L564" s="1454"/>
      <c r="M564" s="1454"/>
      <c r="N564" s="1454"/>
      <c r="O564" s="1454"/>
      <c r="P564" s="1454"/>
      <c r="Q564" s="1454"/>
      <c r="R564" s="1454"/>
      <c r="S564" s="1454"/>
      <c r="T564" s="1454"/>
      <c r="U564" s="1454"/>
      <c r="V564" s="1454"/>
      <c r="W564" s="1454"/>
      <c r="X564" s="1454"/>
      <c r="Y564" s="1454"/>
      <c r="Z564" s="1454"/>
      <c r="AA564" s="1454"/>
      <c r="AB564" s="1454"/>
      <c r="AC564" s="1454"/>
      <c r="AD564" s="1454"/>
      <c r="AE564" s="1454"/>
      <c r="AF564" s="1454"/>
      <c r="AG564" s="1454"/>
      <c r="AH564" s="1454"/>
      <c r="AJ564" s="512"/>
    </row>
    <row r="565" spans="1:51" s="308" customFormat="1" ht="11.25" customHeight="1" x14ac:dyDescent="0.25">
      <c r="A565" s="326"/>
      <c r="B565" s="326"/>
      <c r="C565" s="326"/>
      <c r="D565" s="326"/>
      <c r="E565" s="326"/>
      <c r="F565" s="326"/>
      <c r="G565" s="326"/>
      <c r="H565" s="326"/>
      <c r="I565" s="326"/>
      <c r="J565" s="326"/>
      <c r="K565" s="326"/>
      <c r="L565" s="326"/>
      <c r="M565" s="326"/>
      <c r="N565" s="326"/>
      <c r="O565" s="326"/>
      <c r="P565" s="326"/>
      <c r="Q565" s="326"/>
      <c r="R565" s="326"/>
      <c r="S565" s="326"/>
      <c r="T565" s="326"/>
      <c r="U565" s="326"/>
      <c r="V565" s="326"/>
      <c r="W565" s="326"/>
      <c r="X565" s="326"/>
      <c r="Y565" s="326"/>
      <c r="Z565" s="326"/>
      <c r="AA565" s="326"/>
      <c r="AB565" s="326"/>
      <c r="AC565" s="326"/>
      <c r="AD565" s="326"/>
      <c r="AE565" s="326"/>
      <c r="AF565" s="326"/>
      <c r="AG565" s="326"/>
      <c r="AH565" s="326"/>
      <c r="AJ565" s="508"/>
      <c r="AK565" s="307"/>
      <c r="AL565" s="307"/>
      <c r="AM565" s="307"/>
      <c r="AN565" s="307"/>
      <c r="AO565" s="307"/>
      <c r="AP565" s="307"/>
      <c r="AQ565" s="307"/>
      <c r="AR565" s="307"/>
      <c r="AS565" s="307"/>
      <c r="AT565" s="307"/>
      <c r="AU565" s="307"/>
      <c r="AV565" s="307"/>
      <c r="AW565" s="307"/>
      <c r="AX565" s="307"/>
      <c r="AY565" s="307"/>
    </row>
    <row r="566" spans="1:51" ht="14.1" customHeight="1" x14ac:dyDescent="0.25">
      <c r="A566" s="1455" t="s">
        <v>396</v>
      </c>
      <c r="B566" s="1455"/>
      <c r="C566" s="1455"/>
      <c r="D566" s="1455"/>
      <c r="E566" s="1455"/>
      <c r="F566" s="1455"/>
      <c r="G566" s="1455"/>
      <c r="H566" s="1455"/>
      <c r="I566" s="1455"/>
      <c r="J566" s="1455"/>
      <c r="K566" s="1455"/>
      <c r="L566" s="1455"/>
      <c r="M566" s="1455"/>
      <c r="N566" s="1455"/>
      <c r="O566" s="1455"/>
      <c r="P566" s="1455"/>
      <c r="Q566" s="1455"/>
      <c r="R566" s="1455"/>
      <c r="S566" s="1455"/>
      <c r="T566" s="1455"/>
      <c r="U566" s="1455"/>
      <c r="V566" s="1455"/>
      <c r="W566" s="1455"/>
      <c r="X566" s="1455"/>
      <c r="Y566" s="1455"/>
      <c r="Z566" s="1455"/>
      <c r="AA566" s="1455"/>
      <c r="AB566" s="1455"/>
      <c r="AC566" s="1455"/>
      <c r="AD566" s="1455"/>
      <c r="AE566" s="1455"/>
      <c r="AF566" s="1455"/>
      <c r="AG566" s="1455"/>
      <c r="AH566" s="1455"/>
      <c r="AJ566" s="652"/>
    </row>
    <row r="567" spans="1:51" s="308" customFormat="1" ht="11.25" customHeight="1" x14ac:dyDescent="0.25">
      <c r="A567" s="326"/>
      <c r="B567" s="326"/>
      <c r="C567" s="326"/>
      <c r="D567" s="326"/>
      <c r="E567" s="326"/>
      <c r="F567" s="326"/>
      <c r="G567" s="326"/>
      <c r="H567" s="326"/>
      <c r="I567" s="326"/>
      <c r="J567" s="326"/>
      <c r="K567" s="326"/>
      <c r="L567" s="326"/>
      <c r="M567" s="326"/>
      <c r="N567" s="326"/>
      <c r="O567" s="326"/>
      <c r="P567" s="326"/>
      <c r="Q567" s="326"/>
      <c r="R567" s="326"/>
      <c r="S567" s="326"/>
      <c r="T567" s="326"/>
      <c r="U567" s="326"/>
      <c r="V567" s="326"/>
      <c r="W567" s="326"/>
      <c r="X567" s="326"/>
      <c r="Y567" s="326"/>
      <c r="Z567" s="326"/>
      <c r="AA567" s="326"/>
      <c r="AB567" s="326"/>
      <c r="AC567" s="326"/>
      <c r="AD567" s="326"/>
      <c r="AE567" s="326"/>
      <c r="AF567" s="326"/>
      <c r="AG567" s="326"/>
      <c r="AH567" s="326"/>
      <c r="AJ567" s="508"/>
      <c r="AK567" s="307"/>
      <c r="AL567" s="307"/>
      <c r="AM567" s="307"/>
      <c r="AN567" s="307"/>
      <c r="AO567" s="307"/>
      <c r="AP567" s="307"/>
      <c r="AQ567" s="307"/>
      <c r="AR567" s="307"/>
      <c r="AS567" s="307"/>
      <c r="AT567" s="307"/>
      <c r="AU567" s="307"/>
      <c r="AV567" s="307"/>
      <c r="AW567" s="307"/>
      <c r="AX567" s="307"/>
      <c r="AY567" s="307"/>
    </row>
    <row r="568" spans="1:51" s="308" customFormat="1" ht="50.25" customHeight="1" x14ac:dyDescent="0.25">
      <c r="A568" s="326"/>
      <c r="B568" s="326"/>
      <c r="C568" s="326"/>
      <c r="D568" s="326"/>
      <c r="E568" s="326"/>
      <c r="F568" s="326"/>
      <c r="G568" s="326"/>
      <c r="H568" s="326"/>
      <c r="I568" s="326"/>
      <c r="J568" s="326"/>
      <c r="K568" s="326"/>
      <c r="L568" s="326"/>
      <c r="M568" s="326"/>
      <c r="N568" s="326"/>
      <c r="O568" s="326"/>
      <c r="P568" s="326"/>
      <c r="Q568" s="326"/>
      <c r="R568" s="326"/>
      <c r="S568" s="326"/>
      <c r="T568" s="326"/>
      <c r="U568" s="326"/>
      <c r="V568" s="326"/>
      <c r="W568" s="326"/>
      <c r="Y568" s="1471" t="s">
        <v>397</v>
      </c>
      <c r="Z568" s="1471"/>
      <c r="AA568" s="326"/>
      <c r="AB568" s="326"/>
      <c r="AC568" s="326"/>
      <c r="AD568" s="326"/>
      <c r="AE568" s="326"/>
      <c r="AF568" s="326"/>
      <c r="AG568" s="326"/>
      <c r="AH568" s="326"/>
      <c r="AJ568" s="508"/>
      <c r="AK568" s="307"/>
      <c r="AL568" s="307"/>
      <c r="AM568" s="307"/>
      <c r="AN568" s="307"/>
      <c r="AO568" s="307"/>
      <c r="AP568" s="307"/>
      <c r="AQ568" s="307"/>
      <c r="AR568" s="307"/>
      <c r="AS568" s="307"/>
      <c r="AT568" s="307"/>
      <c r="AU568" s="307"/>
      <c r="AV568" s="307"/>
      <c r="AW568" s="307"/>
      <c r="AX568" s="307"/>
      <c r="AY568" s="307"/>
    </row>
    <row r="569" spans="1:51" s="308" customFormat="1" ht="11.25" customHeight="1" x14ac:dyDescent="0.25">
      <c r="A569" s="326"/>
      <c r="B569" s="326"/>
      <c r="C569" s="326"/>
      <c r="D569" s="326"/>
      <c r="E569" s="326"/>
      <c r="F569" s="326"/>
      <c r="G569" s="326"/>
      <c r="H569" s="326"/>
      <c r="I569" s="326"/>
      <c r="J569" s="326"/>
      <c r="K569" s="326"/>
      <c r="L569" s="326"/>
      <c r="M569" s="326"/>
      <c r="N569" s="326"/>
      <c r="O569" s="326"/>
      <c r="P569" s="326"/>
      <c r="Q569" s="326"/>
      <c r="R569" s="326"/>
      <c r="S569" s="326"/>
      <c r="T569" s="326"/>
      <c r="U569" s="326"/>
      <c r="V569" s="326"/>
      <c r="W569" s="326"/>
      <c r="X569" s="326"/>
      <c r="Y569" s="326"/>
      <c r="Z569" s="326"/>
      <c r="AA569" s="326"/>
      <c r="AB569" s="326"/>
      <c r="AC569" s="326"/>
      <c r="AD569" s="326"/>
      <c r="AE569" s="326"/>
      <c r="AF569" s="326"/>
      <c r="AG569" s="326"/>
      <c r="AH569" s="326"/>
      <c r="AJ569" s="508"/>
      <c r="AK569" s="307"/>
      <c r="AL569" s="307"/>
      <c r="AM569" s="307"/>
      <c r="AN569" s="307"/>
      <c r="AO569" s="307"/>
      <c r="AP569" s="307"/>
      <c r="AQ569" s="307"/>
      <c r="AR569" s="307"/>
      <c r="AS569" s="307"/>
      <c r="AT569" s="307"/>
      <c r="AU569" s="307"/>
      <c r="AV569" s="307"/>
      <c r="AW569" s="307"/>
      <c r="AX569" s="307"/>
      <c r="AY569" s="307"/>
    </row>
    <row r="570" spans="1:51" ht="14.1" customHeight="1" x14ac:dyDescent="0.25">
      <c r="A570" s="1455" t="s">
        <v>398</v>
      </c>
      <c r="B570" s="1455"/>
      <c r="C570" s="1455"/>
      <c r="D570" s="1455"/>
      <c r="E570" s="1455"/>
      <c r="F570" s="1455"/>
      <c r="G570" s="1455"/>
      <c r="H570" s="1455"/>
      <c r="I570" s="1455"/>
      <c r="J570" s="1455"/>
      <c r="K570" s="1455"/>
      <c r="L570" s="1455"/>
      <c r="M570" s="1455"/>
      <c r="N570" s="1455"/>
      <c r="O570" s="1455"/>
      <c r="P570" s="1455"/>
      <c r="Q570" s="1455"/>
      <c r="R570" s="1455"/>
      <c r="S570" s="1455"/>
      <c r="T570" s="1455"/>
      <c r="U570" s="1455"/>
      <c r="V570" s="1455"/>
      <c r="W570" s="1455"/>
      <c r="X570" s="1455"/>
      <c r="Y570" s="1455"/>
      <c r="Z570" s="1455"/>
      <c r="AA570" s="1455"/>
      <c r="AB570" s="1455"/>
      <c r="AC570" s="1455"/>
      <c r="AD570" s="1455"/>
      <c r="AE570" s="1455"/>
      <c r="AF570" s="1455"/>
      <c r="AG570" s="1455"/>
      <c r="AH570" s="1455"/>
      <c r="AJ570" s="652"/>
    </row>
    <row r="571" spans="1:51" s="308" customFormat="1" ht="11.25" customHeight="1" x14ac:dyDescent="0.25">
      <c r="A571" s="326"/>
      <c r="B571" s="326"/>
      <c r="C571" s="326"/>
      <c r="D571" s="326"/>
      <c r="E571" s="326"/>
      <c r="F571" s="326"/>
      <c r="G571" s="326"/>
      <c r="H571" s="326"/>
      <c r="I571" s="326"/>
      <c r="J571" s="326"/>
      <c r="K571" s="326"/>
      <c r="L571" s="326"/>
      <c r="M571" s="326"/>
      <c r="N571" s="326"/>
      <c r="O571" s="326"/>
      <c r="P571" s="326"/>
      <c r="Q571" s="326"/>
      <c r="R571" s="326"/>
      <c r="S571" s="326"/>
      <c r="T571" s="326"/>
      <c r="U571" s="326"/>
      <c r="V571" s="326"/>
      <c r="W571" s="326"/>
      <c r="X571" s="326"/>
      <c r="Y571" s="326"/>
      <c r="Z571" s="326"/>
      <c r="AA571" s="326"/>
      <c r="AB571" s="326"/>
      <c r="AC571" s="326"/>
      <c r="AD571" s="326"/>
      <c r="AE571" s="326"/>
      <c r="AF571" s="326"/>
      <c r="AG571" s="326"/>
      <c r="AH571" s="326"/>
      <c r="AJ571" s="508"/>
      <c r="AK571" s="307"/>
      <c r="AL571" s="307"/>
      <c r="AM571" s="307"/>
      <c r="AN571" s="307"/>
      <c r="AO571" s="307"/>
      <c r="AP571" s="307"/>
      <c r="AQ571" s="307"/>
      <c r="AR571" s="307"/>
      <c r="AS571" s="307"/>
      <c r="AT571" s="307"/>
      <c r="AU571" s="307"/>
      <c r="AV571" s="307"/>
      <c r="AW571" s="307"/>
      <c r="AX571" s="307"/>
      <c r="AY571" s="307"/>
    </row>
    <row r="572" spans="1:51" s="308" customFormat="1" ht="50.25" customHeight="1" x14ac:dyDescent="0.25">
      <c r="A572" s="326"/>
      <c r="B572" s="326"/>
      <c r="C572" s="326"/>
      <c r="D572" s="326"/>
      <c r="E572" s="326"/>
      <c r="F572" s="326"/>
      <c r="G572" s="326"/>
      <c r="H572" s="326"/>
      <c r="I572" s="326"/>
      <c r="J572" s="326"/>
      <c r="K572" s="326"/>
      <c r="L572" s="326"/>
      <c r="M572" s="326"/>
      <c r="N572" s="326"/>
      <c r="O572" s="326"/>
      <c r="P572" s="326"/>
      <c r="Q572" s="326"/>
      <c r="R572" s="326"/>
      <c r="S572" s="326"/>
      <c r="T572" s="326"/>
      <c r="U572" s="326"/>
      <c r="V572" s="326"/>
      <c r="W572" s="326"/>
      <c r="Y572" s="1471" t="s">
        <v>399</v>
      </c>
      <c r="Z572" s="1471"/>
      <c r="AA572" s="326"/>
      <c r="AB572" s="326"/>
      <c r="AC572" s="326"/>
      <c r="AD572" s="326"/>
      <c r="AE572" s="326"/>
      <c r="AF572" s="326"/>
      <c r="AG572" s="326"/>
      <c r="AH572" s="326"/>
      <c r="AJ572" s="508"/>
      <c r="AK572" s="307"/>
      <c r="AL572" s="307"/>
      <c r="AM572" s="307"/>
      <c r="AN572" s="307"/>
      <c r="AO572" s="307"/>
      <c r="AP572" s="307"/>
      <c r="AQ572" s="307"/>
      <c r="AR572" s="307"/>
      <c r="AS572" s="307"/>
      <c r="AT572" s="307"/>
      <c r="AU572" s="307"/>
      <c r="AV572" s="307"/>
      <c r="AW572" s="307"/>
      <c r="AX572" s="307"/>
      <c r="AY572" s="307"/>
    </row>
    <row r="573" spans="1:51" s="308" customFormat="1" ht="11.25" customHeight="1" x14ac:dyDescent="0.25">
      <c r="A573" s="326"/>
      <c r="B573" s="326"/>
      <c r="C573" s="326"/>
      <c r="D573" s="326"/>
      <c r="E573" s="326"/>
      <c r="F573" s="326"/>
      <c r="G573" s="326"/>
      <c r="H573" s="326"/>
      <c r="I573" s="326"/>
      <c r="J573" s="326"/>
      <c r="K573" s="326"/>
      <c r="L573" s="326"/>
      <c r="M573" s="326"/>
      <c r="N573" s="326"/>
      <c r="O573" s="326"/>
      <c r="P573" s="326"/>
      <c r="Q573" s="326"/>
      <c r="R573" s="326"/>
      <c r="S573" s="326"/>
      <c r="T573" s="326"/>
      <c r="U573" s="326"/>
      <c r="V573" s="326"/>
      <c r="W573" s="326"/>
      <c r="X573" s="326"/>
      <c r="Y573" s="326"/>
      <c r="Z573" s="326"/>
      <c r="AA573" s="326"/>
      <c r="AB573" s="326"/>
      <c r="AC573" s="326"/>
      <c r="AD573" s="326"/>
      <c r="AE573" s="326"/>
      <c r="AF573" s="326"/>
      <c r="AG573" s="326"/>
      <c r="AH573" s="326"/>
      <c r="AJ573" s="508"/>
      <c r="AK573" s="307"/>
      <c r="AL573" s="307"/>
      <c r="AM573" s="307"/>
      <c r="AN573" s="307"/>
      <c r="AO573" s="307"/>
      <c r="AP573" s="307"/>
      <c r="AQ573" s="307"/>
      <c r="AR573" s="307"/>
      <c r="AS573" s="307"/>
      <c r="AT573" s="307"/>
      <c r="AU573" s="307"/>
      <c r="AV573" s="307"/>
      <c r="AW573" s="307"/>
      <c r="AX573" s="307"/>
      <c r="AY573" s="307"/>
    </row>
    <row r="574" spans="1:51" s="308" customFormat="1" ht="14.25" customHeight="1" x14ac:dyDescent="0.25">
      <c r="A574" s="1455" t="s">
        <v>400</v>
      </c>
      <c r="B574" s="1455" t="s">
        <v>320</v>
      </c>
      <c r="C574" s="1455"/>
      <c r="D574" s="1455"/>
      <c r="E574" s="1455"/>
      <c r="F574" s="1455"/>
      <c r="G574" s="1455"/>
      <c r="H574" s="1455"/>
      <c r="I574" s="1455"/>
      <c r="J574" s="1455"/>
      <c r="K574" s="1455"/>
      <c r="L574" s="1455"/>
      <c r="M574" s="1455"/>
      <c r="N574" s="1455"/>
      <c r="O574" s="1455"/>
      <c r="P574" s="1455"/>
      <c r="Q574" s="1455"/>
      <c r="R574" s="1455"/>
      <c r="S574" s="1455"/>
      <c r="T574" s="1455"/>
      <c r="U574" s="1455"/>
      <c r="V574" s="1455"/>
      <c r="W574" s="1455"/>
      <c r="X574" s="1455"/>
      <c r="Y574" s="1455"/>
      <c r="Z574" s="1455"/>
      <c r="AA574" s="1455"/>
      <c r="AB574" s="1455"/>
      <c r="AC574" s="1455"/>
      <c r="AD574" s="1455"/>
      <c r="AE574" s="1455"/>
      <c r="AF574" s="1455"/>
      <c r="AG574" s="1455"/>
      <c r="AH574" s="1455"/>
      <c r="AJ574" s="512"/>
    </row>
    <row r="575" spans="1:51" s="308" customFormat="1" ht="14.25" customHeight="1" x14ac:dyDescent="0.25">
      <c r="A575" s="1455" t="s">
        <v>401</v>
      </c>
      <c r="B575" s="1455" t="s">
        <v>320</v>
      </c>
      <c r="C575" s="1455"/>
      <c r="D575" s="1455"/>
      <c r="E575" s="1455"/>
      <c r="F575" s="1455"/>
      <c r="G575" s="1455"/>
      <c r="H575" s="1455"/>
      <c r="I575" s="1455"/>
      <c r="J575" s="1455"/>
      <c r="K575" s="1455"/>
      <c r="L575" s="1455"/>
      <c r="M575" s="1455"/>
      <c r="N575" s="1455"/>
      <c r="O575" s="1455"/>
      <c r="P575" s="1455"/>
      <c r="Q575" s="1455"/>
      <c r="R575" s="1455"/>
      <c r="S575" s="1455"/>
      <c r="T575" s="1455"/>
      <c r="U575" s="1455"/>
      <c r="V575" s="1455"/>
      <c r="W575" s="1455"/>
      <c r="X575" s="1455"/>
      <c r="Y575" s="1455"/>
      <c r="Z575" s="1455"/>
      <c r="AA575" s="1455"/>
      <c r="AB575" s="1455"/>
      <c r="AC575" s="1455"/>
      <c r="AD575" s="1455"/>
      <c r="AE575" s="1455"/>
      <c r="AF575" s="1455"/>
      <c r="AG575" s="1455"/>
      <c r="AH575" s="1455"/>
      <c r="AJ575" s="512"/>
    </row>
    <row r="576" spans="1:51" s="308" customFormat="1" ht="14.25" customHeight="1" x14ac:dyDescent="0.25">
      <c r="A576" s="1486" t="s">
        <v>402</v>
      </c>
      <c r="B576" s="1455" t="s">
        <v>320</v>
      </c>
      <c r="C576" s="1455"/>
      <c r="D576" s="1455"/>
      <c r="E576" s="1455"/>
      <c r="F576" s="1455"/>
      <c r="G576" s="1455"/>
      <c r="H576" s="1455"/>
      <c r="I576" s="1455"/>
      <c r="J576" s="1455"/>
      <c r="K576" s="1455"/>
      <c r="L576" s="1455"/>
      <c r="M576" s="1455"/>
      <c r="N576" s="1455"/>
      <c r="O576" s="1455"/>
      <c r="P576" s="1455"/>
      <c r="Q576" s="1455"/>
      <c r="R576" s="1455"/>
      <c r="S576" s="1455"/>
      <c r="T576" s="1455"/>
      <c r="U576" s="1455"/>
      <c r="V576" s="1455"/>
      <c r="W576" s="1455"/>
      <c r="X576" s="1455"/>
      <c r="Y576" s="1455"/>
      <c r="Z576" s="1455"/>
      <c r="AA576" s="1455"/>
      <c r="AB576" s="1455"/>
      <c r="AC576" s="1455"/>
      <c r="AD576" s="1455"/>
      <c r="AE576" s="1455"/>
      <c r="AF576" s="1455"/>
      <c r="AG576" s="1455"/>
      <c r="AH576" s="1455"/>
      <c r="AJ576" s="512"/>
    </row>
    <row r="577" spans="1:51" s="308" customFormat="1" ht="14.25" customHeight="1" x14ac:dyDescent="0.25">
      <c r="A577" s="1486" t="s">
        <v>403</v>
      </c>
      <c r="B577" s="1455" t="s">
        <v>320</v>
      </c>
      <c r="C577" s="1455"/>
      <c r="D577" s="1455"/>
      <c r="E577" s="1455"/>
      <c r="F577" s="1455"/>
      <c r="G577" s="1455"/>
      <c r="H577" s="1455"/>
      <c r="I577" s="1455"/>
      <c r="J577" s="1455"/>
      <c r="K577" s="1455"/>
      <c r="L577" s="1455"/>
      <c r="M577" s="1455"/>
      <c r="N577" s="1455"/>
      <c r="O577" s="1455"/>
      <c r="P577" s="1455"/>
      <c r="Q577" s="1455"/>
      <c r="R577" s="1455"/>
      <c r="S577" s="1455"/>
      <c r="T577" s="1455"/>
      <c r="U577" s="1455"/>
      <c r="V577" s="1455"/>
      <c r="W577" s="1455"/>
      <c r="X577" s="1455"/>
      <c r="Y577" s="1455"/>
      <c r="Z577" s="1455"/>
      <c r="AA577" s="1455"/>
      <c r="AB577" s="1455"/>
      <c r="AC577" s="1455"/>
      <c r="AD577" s="1455"/>
      <c r="AE577" s="1455"/>
      <c r="AF577" s="1455"/>
      <c r="AG577" s="1455"/>
      <c r="AH577" s="1455"/>
      <c r="AJ577" s="512"/>
    </row>
    <row r="578" spans="1:51" s="308" customFormat="1" ht="14.25" customHeight="1" x14ac:dyDescent="0.25">
      <c r="A578" s="1455" t="s">
        <v>404</v>
      </c>
      <c r="B578" s="1455" t="s">
        <v>320</v>
      </c>
      <c r="C578" s="1455"/>
      <c r="D578" s="1455"/>
      <c r="E578" s="1455"/>
      <c r="F578" s="1455"/>
      <c r="G578" s="1455"/>
      <c r="H578" s="1455"/>
      <c r="I578" s="1455"/>
      <c r="J578" s="1455"/>
      <c r="K578" s="1455"/>
      <c r="L578" s="1455"/>
      <c r="M578" s="1455"/>
      <c r="N578" s="1455"/>
      <c r="O578" s="1455"/>
      <c r="P578" s="1455"/>
      <c r="Q578" s="1455"/>
      <c r="R578" s="1455"/>
      <c r="S578" s="1455"/>
      <c r="T578" s="1455"/>
      <c r="U578" s="1455"/>
      <c r="V578" s="1455"/>
      <c r="W578" s="1455"/>
      <c r="X578" s="1455"/>
      <c r="Y578" s="1455"/>
      <c r="Z578" s="1455"/>
      <c r="AA578" s="1455"/>
      <c r="AB578" s="1455"/>
      <c r="AC578" s="1455"/>
      <c r="AD578" s="1455"/>
      <c r="AE578" s="1455"/>
      <c r="AF578" s="1455"/>
      <c r="AG578" s="1455"/>
      <c r="AH578" s="1455"/>
      <c r="AJ578" s="512"/>
    </row>
    <row r="579" spans="1:51" s="308" customFormat="1" ht="14.25" customHeight="1" x14ac:dyDescent="0.25">
      <c r="A579" s="1455" t="s">
        <v>405</v>
      </c>
      <c r="B579" s="1455" t="s">
        <v>320</v>
      </c>
      <c r="C579" s="1455"/>
      <c r="D579" s="1455"/>
      <c r="E579" s="1455"/>
      <c r="F579" s="1455"/>
      <c r="G579" s="1455"/>
      <c r="H579" s="1455"/>
      <c r="I579" s="1455"/>
      <c r="J579" s="1455"/>
      <c r="K579" s="1455"/>
      <c r="L579" s="1455"/>
      <c r="M579" s="1455"/>
      <c r="N579" s="1455"/>
      <c r="O579" s="1455"/>
      <c r="P579" s="1455"/>
      <c r="Q579" s="1455"/>
      <c r="R579" s="1455"/>
      <c r="S579" s="1455"/>
      <c r="T579" s="1455"/>
      <c r="U579" s="1455"/>
      <c r="V579" s="1455"/>
      <c r="W579" s="1455"/>
      <c r="X579" s="1455"/>
      <c r="Y579" s="1455"/>
      <c r="Z579" s="1455"/>
      <c r="AA579" s="1455"/>
      <c r="AB579" s="1455"/>
      <c r="AC579" s="1455"/>
      <c r="AD579" s="1455"/>
      <c r="AE579" s="1455"/>
      <c r="AF579" s="1455"/>
      <c r="AG579" s="1455"/>
      <c r="AH579" s="1455"/>
      <c r="AJ579" s="512"/>
    </row>
    <row r="580" spans="1:51" s="308" customFormat="1" ht="14.25" customHeight="1" x14ac:dyDescent="0.25">
      <c r="A580" s="1455" t="s">
        <v>406</v>
      </c>
      <c r="B580" s="1455" t="s">
        <v>320</v>
      </c>
      <c r="C580" s="1455"/>
      <c r="D580" s="1455"/>
      <c r="E580" s="1455"/>
      <c r="F580" s="1455"/>
      <c r="G580" s="1455"/>
      <c r="H580" s="1455"/>
      <c r="I580" s="1455"/>
      <c r="J580" s="1455"/>
      <c r="K580" s="1455"/>
      <c r="L580" s="1455"/>
      <c r="M580" s="1455"/>
      <c r="N580" s="1455"/>
      <c r="O580" s="1455"/>
      <c r="P580" s="1455"/>
      <c r="Q580" s="1455"/>
      <c r="R580" s="1455"/>
      <c r="S580" s="1455"/>
      <c r="T580" s="1455"/>
      <c r="U580" s="1455"/>
      <c r="V580" s="1455"/>
      <c r="W580" s="1455"/>
      <c r="X580" s="1455"/>
      <c r="Y580" s="1455"/>
      <c r="Z580" s="1455"/>
      <c r="AA580" s="1455"/>
      <c r="AB580" s="1455"/>
      <c r="AC580" s="1455"/>
      <c r="AD580" s="1455"/>
      <c r="AE580" s="1455"/>
      <c r="AF580" s="1455"/>
      <c r="AG580" s="1455"/>
      <c r="AH580" s="1455"/>
      <c r="AJ580" s="512"/>
    </row>
    <row r="581" spans="1:51" s="308" customFormat="1" ht="11.25" customHeight="1" x14ac:dyDescent="0.25">
      <c r="A581" s="326"/>
      <c r="B581" s="326"/>
      <c r="C581" s="326"/>
      <c r="D581" s="326"/>
      <c r="E581" s="326"/>
      <c r="F581" s="326"/>
      <c r="G581" s="326"/>
      <c r="H581" s="326"/>
      <c r="I581" s="326"/>
      <c r="J581" s="326"/>
      <c r="K581" s="326"/>
      <c r="L581" s="326"/>
      <c r="M581" s="326"/>
      <c r="N581" s="326"/>
      <c r="O581" s="326"/>
      <c r="P581" s="326"/>
      <c r="Q581" s="326"/>
      <c r="R581" s="326"/>
      <c r="S581" s="326"/>
      <c r="T581" s="326"/>
      <c r="U581" s="326"/>
      <c r="V581" s="326"/>
      <c r="W581" s="326"/>
      <c r="X581" s="326"/>
      <c r="Y581" s="326"/>
      <c r="Z581" s="326"/>
      <c r="AA581" s="326"/>
      <c r="AB581" s="326"/>
      <c r="AC581" s="326"/>
      <c r="AD581" s="326"/>
      <c r="AE581" s="326"/>
      <c r="AF581" s="326"/>
      <c r="AG581" s="326"/>
      <c r="AH581" s="326"/>
      <c r="AJ581" s="508"/>
      <c r="AK581" s="307"/>
      <c r="AL581" s="307"/>
      <c r="AM581" s="307"/>
      <c r="AN581" s="307"/>
      <c r="AO581" s="307"/>
      <c r="AP581" s="307"/>
      <c r="AQ581" s="307"/>
      <c r="AR581" s="307"/>
      <c r="AS581" s="307"/>
      <c r="AT581" s="307"/>
      <c r="AU581" s="307"/>
      <c r="AV581" s="307"/>
      <c r="AW581" s="307"/>
      <c r="AX581" s="307"/>
      <c r="AY581" s="307"/>
    </row>
    <row r="582" spans="1:51" s="305" customFormat="1" ht="15" customHeight="1" x14ac:dyDescent="0.25">
      <c r="A582" s="1455" t="s">
        <v>407</v>
      </c>
      <c r="B582" s="1455"/>
      <c r="C582" s="1455" t="s">
        <v>391</v>
      </c>
      <c r="D582" s="1455"/>
      <c r="E582" s="1455"/>
      <c r="F582" s="1455"/>
      <c r="G582" s="1455"/>
      <c r="H582" s="1455"/>
      <c r="I582" s="1455"/>
      <c r="J582" s="1455"/>
      <c r="K582" s="1455"/>
      <c r="L582" s="1455"/>
      <c r="M582" s="1455"/>
      <c r="N582" s="1455"/>
      <c r="O582" s="1455"/>
      <c r="P582" s="1455"/>
      <c r="Q582" s="1455"/>
      <c r="R582" s="1455"/>
      <c r="S582" s="1455"/>
      <c r="T582" s="1455"/>
      <c r="U582" s="1455"/>
      <c r="V582" s="1455"/>
      <c r="W582" s="1455"/>
      <c r="X582" s="1455"/>
      <c r="Y582" s="1455"/>
      <c r="Z582" s="1455"/>
      <c r="AA582" s="1455"/>
      <c r="AB582" s="1455"/>
      <c r="AC582" s="1455"/>
      <c r="AD582" s="1455"/>
      <c r="AE582" s="1455"/>
      <c r="AF582" s="1455"/>
      <c r="AG582" s="1455"/>
      <c r="AH582" s="1455"/>
      <c r="AJ582" s="651"/>
    </row>
    <row r="583" spans="1:51" s="308" customFormat="1" ht="11.25" customHeight="1" x14ac:dyDescent="0.25">
      <c r="A583" s="326"/>
      <c r="B583" s="326"/>
      <c r="C583" s="326"/>
      <c r="D583" s="326"/>
      <c r="E583" s="326"/>
      <c r="F583" s="326"/>
      <c r="G583" s="326"/>
      <c r="H583" s="326"/>
      <c r="I583" s="326"/>
      <c r="J583" s="326"/>
      <c r="K583" s="326"/>
      <c r="L583" s="326"/>
      <c r="M583" s="326"/>
      <c r="N583" s="326"/>
      <c r="O583" s="326"/>
      <c r="P583" s="326"/>
      <c r="Q583" s="326"/>
      <c r="R583" s="326"/>
      <c r="S583" s="326"/>
      <c r="T583" s="326"/>
      <c r="U583" s="326"/>
      <c r="V583" s="326"/>
      <c r="W583" s="326"/>
      <c r="X583" s="326"/>
      <c r="Y583" s="326"/>
      <c r="Z583" s="326"/>
      <c r="AA583" s="326"/>
      <c r="AB583" s="326"/>
      <c r="AC583" s="326"/>
      <c r="AD583" s="326"/>
      <c r="AE583" s="326"/>
      <c r="AF583" s="326"/>
      <c r="AG583" s="326"/>
      <c r="AH583" s="326"/>
      <c r="AJ583" s="508"/>
      <c r="AK583" s="307"/>
      <c r="AL583" s="307"/>
      <c r="AM583" s="307"/>
      <c r="AN583" s="307"/>
      <c r="AO583" s="307"/>
      <c r="AP583" s="307"/>
      <c r="AQ583" s="307"/>
      <c r="AR583" s="307"/>
      <c r="AS583" s="307"/>
      <c r="AT583" s="307"/>
      <c r="AU583" s="307"/>
      <c r="AV583" s="307"/>
      <c r="AW583" s="307"/>
      <c r="AX583" s="307"/>
      <c r="AY583" s="307"/>
    </row>
    <row r="584" spans="1:51" s="308" customFormat="1" ht="40.5" customHeight="1" x14ac:dyDescent="0.25">
      <c r="A584" s="1454" t="s">
        <v>408</v>
      </c>
      <c r="B584" s="1454"/>
      <c r="C584" s="1454"/>
      <c r="D584" s="1454"/>
      <c r="E584" s="1454"/>
      <c r="F584" s="1454"/>
      <c r="G584" s="1454"/>
      <c r="H584" s="1454"/>
      <c r="I584" s="1454"/>
      <c r="J584" s="1454"/>
      <c r="K584" s="1454"/>
      <c r="L584" s="1454"/>
      <c r="M584" s="1454"/>
      <c r="N584" s="1454"/>
      <c r="O584" s="1454"/>
      <c r="P584" s="1454"/>
      <c r="Q584" s="1454"/>
      <c r="R584" s="1454"/>
      <c r="S584" s="1454"/>
      <c r="T584" s="1454"/>
      <c r="U584" s="1454"/>
      <c r="V584" s="1454"/>
      <c r="W584" s="1454"/>
      <c r="X584" s="1454"/>
      <c r="Y584" s="1454"/>
      <c r="Z584" s="1454"/>
      <c r="AA584" s="1454"/>
      <c r="AB584" s="1454"/>
      <c r="AC584" s="1454"/>
      <c r="AD584" s="1454"/>
      <c r="AE584" s="1454"/>
      <c r="AF584" s="1454"/>
      <c r="AG584" s="1454"/>
      <c r="AH584" s="1454"/>
      <c r="AJ584" s="512"/>
    </row>
    <row r="585" spans="1:51" x14ac:dyDescent="0.25">
      <c r="AJ585" s="652"/>
    </row>
    <row r="586" spans="1:51" ht="30" customHeight="1" x14ac:dyDescent="0.25">
      <c r="Y586" s="1471" t="s">
        <v>409</v>
      </c>
      <c r="Z586" s="1471"/>
      <c r="AJ586" s="652"/>
    </row>
    <row r="587" spans="1:51" x14ac:dyDescent="0.25">
      <c r="AJ587" s="652"/>
    </row>
    <row r="588" spans="1:51" s="308" customFormat="1" ht="14.25" customHeight="1" x14ac:dyDescent="0.25">
      <c r="A588" s="1486" t="s">
        <v>410</v>
      </c>
      <c r="B588" s="1455" t="s">
        <v>320</v>
      </c>
      <c r="C588" s="1455"/>
      <c r="D588" s="1455"/>
      <c r="E588" s="1455"/>
      <c r="F588" s="1455"/>
      <c r="G588" s="1455"/>
      <c r="H588" s="1455"/>
      <c r="I588" s="1455"/>
      <c r="J588" s="1455"/>
      <c r="K588" s="1455"/>
      <c r="L588" s="1455"/>
      <c r="M588" s="1455"/>
      <c r="N588" s="1455"/>
      <c r="O588" s="1455"/>
      <c r="P588" s="1455"/>
      <c r="Q588" s="1455"/>
      <c r="R588" s="1455"/>
      <c r="S588" s="1455"/>
      <c r="T588" s="1455"/>
      <c r="U588" s="1455"/>
      <c r="V588" s="1455"/>
      <c r="W588" s="1455"/>
      <c r="X588" s="1455"/>
      <c r="Y588" s="1455"/>
      <c r="Z588" s="1455"/>
      <c r="AA588" s="1455"/>
      <c r="AB588" s="1455"/>
      <c r="AC588" s="1455"/>
      <c r="AD588" s="1455"/>
      <c r="AE588" s="1455"/>
      <c r="AF588" s="1455"/>
      <c r="AG588" s="1455"/>
      <c r="AH588" s="1455"/>
      <c r="AJ588" s="512"/>
    </row>
    <row r="589" spans="1:51" s="308" customFormat="1" ht="14.25" customHeight="1" x14ac:dyDescent="0.25">
      <c r="A589" s="1455" t="s">
        <v>411</v>
      </c>
      <c r="B589" s="1455" t="s">
        <v>320</v>
      </c>
      <c r="C589" s="1455"/>
      <c r="D589" s="1455"/>
      <c r="E589" s="1455"/>
      <c r="F589" s="1455"/>
      <c r="G589" s="1455"/>
      <c r="H589" s="1455"/>
      <c r="I589" s="1455"/>
      <c r="J589" s="1455"/>
      <c r="K589" s="1455"/>
      <c r="L589" s="1455"/>
      <c r="M589" s="1455"/>
      <c r="N589" s="1455"/>
      <c r="O589" s="1455"/>
      <c r="P589" s="1455"/>
      <c r="Q589" s="1455"/>
      <c r="R589" s="1455"/>
      <c r="S589" s="1455"/>
      <c r="T589" s="1455"/>
      <c r="U589" s="1455"/>
      <c r="V589" s="1455"/>
      <c r="W589" s="1455"/>
      <c r="X589" s="1455"/>
      <c r="Y589" s="1455"/>
      <c r="Z589" s="1455"/>
      <c r="AA589" s="1455"/>
      <c r="AB589" s="1455"/>
      <c r="AC589" s="1455"/>
      <c r="AD589" s="1455"/>
      <c r="AE589" s="1455"/>
      <c r="AF589" s="1455"/>
      <c r="AG589" s="1455"/>
      <c r="AH589" s="1455"/>
      <c r="AJ589" s="512"/>
    </row>
    <row r="590" spans="1:51" s="308" customFormat="1" ht="14.25" customHeight="1" x14ac:dyDescent="0.25">
      <c r="A590" s="1455" t="s">
        <v>412</v>
      </c>
      <c r="B590" s="1455" t="s">
        <v>320</v>
      </c>
      <c r="C590" s="1455"/>
      <c r="D590" s="1455"/>
      <c r="E590" s="1455"/>
      <c r="F590" s="1455"/>
      <c r="G590" s="1455"/>
      <c r="H590" s="1455"/>
      <c r="I590" s="1455"/>
      <c r="J590" s="1455"/>
      <c r="K590" s="1455"/>
      <c r="L590" s="1455"/>
      <c r="M590" s="1455"/>
      <c r="N590" s="1455"/>
      <c r="O590" s="1455"/>
      <c r="P590" s="1455"/>
      <c r="Q590" s="1455"/>
      <c r="R590" s="1455"/>
      <c r="S590" s="1455"/>
      <c r="T590" s="1455"/>
      <c r="U590" s="1455"/>
      <c r="V590" s="1455"/>
      <c r="W590" s="1455"/>
      <c r="X590" s="1455"/>
      <c r="Y590" s="1455"/>
      <c r="Z590" s="1455"/>
      <c r="AA590" s="1455"/>
      <c r="AB590" s="1455"/>
      <c r="AC590" s="1455"/>
      <c r="AD590" s="1455"/>
      <c r="AE590" s="1455"/>
      <c r="AF590" s="1455"/>
      <c r="AG590" s="1455"/>
      <c r="AH590" s="1455"/>
      <c r="AJ590" s="512"/>
    </row>
    <row r="591" spans="1:51" s="308" customFormat="1" ht="14.25" customHeight="1" x14ac:dyDescent="0.25">
      <c r="A591" s="1455" t="s">
        <v>413</v>
      </c>
      <c r="B591" s="1455" t="s">
        <v>320</v>
      </c>
      <c r="C591" s="1455"/>
      <c r="D591" s="1455"/>
      <c r="E591" s="1455"/>
      <c r="F591" s="1455"/>
      <c r="G591" s="1455"/>
      <c r="H591" s="1455"/>
      <c r="I591" s="1455"/>
      <c r="J591" s="1455"/>
      <c r="K591" s="1455"/>
      <c r="L591" s="1455"/>
      <c r="M591" s="1455"/>
      <c r="N591" s="1455"/>
      <c r="O591" s="1455"/>
      <c r="P591" s="1455"/>
      <c r="Q591" s="1455"/>
      <c r="R591" s="1455"/>
      <c r="S591" s="1455"/>
      <c r="T591" s="1455"/>
      <c r="U591" s="1455"/>
      <c r="V591" s="1455"/>
      <c r="W591" s="1455"/>
      <c r="X591" s="1455"/>
      <c r="Y591" s="1455"/>
      <c r="Z591" s="1455"/>
      <c r="AA591" s="1455"/>
      <c r="AB591" s="1455"/>
      <c r="AC591" s="1455"/>
      <c r="AD591" s="1455"/>
      <c r="AE591" s="1455"/>
      <c r="AF591" s="1455"/>
      <c r="AG591" s="1455"/>
      <c r="AH591" s="1455"/>
      <c r="AJ591" s="512"/>
    </row>
    <row r="592" spans="1:51" s="308" customFormat="1" ht="14.25" customHeight="1" x14ac:dyDescent="0.25">
      <c r="A592" s="1455" t="s">
        <v>414</v>
      </c>
      <c r="B592" s="1455" t="s">
        <v>320</v>
      </c>
      <c r="C592" s="1455"/>
      <c r="D592" s="1455"/>
      <c r="E592" s="1455"/>
      <c r="F592" s="1455"/>
      <c r="G592" s="1455"/>
      <c r="H592" s="1455"/>
      <c r="I592" s="1455"/>
      <c r="J592" s="1455"/>
      <c r="K592" s="1455"/>
      <c r="L592" s="1455"/>
      <c r="M592" s="1455"/>
      <c r="N592" s="1455"/>
      <c r="O592" s="1455"/>
      <c r="P592" s="1455"/>
      <c r="Q592" s="1455"/>
      <c r="R592" s="1455"/>
      <c r="S592" s="1455"/>
      <c r="T592" s="1455"/>
      <c r="U592" s="1455"/>
      <c r="V592" s="1455"/>
      <c r="W592" s="1455"/>
      <c r="X592" s="1455"/>
      <c r="Y592" s="1455"/>
      <c r="Z592" s="1455"/>
      <c r="AA592" s="1455"/>
      <c r="AB592" s="1455"/>
      <c r="AC592" s="1455"/>
      <c r="AD592" s="1455"/>
      <c r="AE592" s="1455"/>
      <c r="AF592" s="1455"/>
      <c r="AG592" s="1455"/>
      <c r="AH592" s="1455"/>
      <c r="AJ592" s="512"/>
    </row>
    <row r="593" spans="1:36" s="308" customFormat="1" ht="14.25" customHeight="1" x14ac:dyDescent="0.25">
      <c r="A593" s="1455" t="s">
        <v>415</v>
      </c>
      <c r="B593" s="1455" t="s">
        <v>320</v>
      </c>
      <c r="C593" s="1455"/>
      <c r="D593" s="1455"/>
      <c r="E593" s="1455"/>
      <c r="F593" s="1455"/>
      <c r="G593" s="1455"/>
      <c r="H593" s="1455"/>
      <c r="I593" s="1455"/>
      <c r="J593" s="1455"/>
      <c r="K593" s="1455"/>
      <c r="L593" s="1455"/>
      <c r="M593" s="1455"/>
      <c r="N593" s="1455"/>
      <c r="O593" s="1455"/>
      <c r="P593" s="1455"/>
      <c r="Q593" s="1455"/>
      <c r="R593" s="1455"/>
      <c r="S593" s="1455"/>
      <c r="T593" s="1455"/>
      <c r="U593" s="1455"/>
      <c r="V593" s="1455"/>
      <c r="W593" s="1455"/>
      <c r="X593" s="1455"/>
      <c r="Y593" s="1455"/>
      <c r="Z593" s="1455"/>
      <c r="AA593" s="1455"/>
      <c r="AB593" s="1455"/>
      <c r="AC593" s="1455"/>
      <c r="AD593" s="1455"/>
      <c r="AE593" s="1455"/>
      <c r="AF593" s="1455"/>
      <c r="AG593" s="1455"/>
      <c r="AH593" s="1455"/>
      <c r="AJ593" s="512"/>
    </row>
    <row r="594" spans="1:36" x14ac:dyDescent="0.25">
      <c r="AJ594" s="652"/>
    </row>
    <row r="595" spans="1:36" x14ac:dyDescent="0.25">
      <c r="AJ595" s="652"/>
    </row>
    <row r="596" spans="1:36" x14ac:dyDescent="0.25">
      <c r="AJ596" s="652"/>
    </row>
    <row r="597" spans="1:36" x14ac:dyDescent="0.25">
      <c r="AJ597" s="652"/>
    </row>
    <row r="598" spans="1:36" x14ac:dyDescent="0.25">
      <c r="AJ598" s="652"/>
    </row>
    <row r="599" spans="1:36" x14ac:dyDescent="0.25">
      <c r="AJ599" s="652"/>
    </row>
    <row r="600" spans="1:36" x14ac:dyDescent="0.25">
      <c r="AJ600" s="652"/>
    </row>
    <row r="601" spans="1:36" x14ac:dyDescent="0.25">
      <c r="AJ601" s="652"/>
    </row>
    <row r="602" spans="1:36" x14ac:dyDescent="0.25">
      <c r="AJ602" s="652"/>
    </row>
    <row r="603" spans="1:36" x14ac:dyDescent="0.25">
      <c r="AJ603" s="652"/>
    </row>
    <row r="604" spans="1:36" x14ac:dyDescent="0.25">
      <c r="AJ604" s="652"/>
    </row>
    <row r="605" spans="1:36" x14ac:dyDescent="0.25">
      <c r="AJ605" s="652"/>
    </row>
    <row r="606" spans="1:36" x14ac:dyDescent="0.25">
      <c r="AJ606" s="652"/>
    </row>
    <row r="607" spans="1:36" x14ac:dyDescent="0.25">
      <c r="AJ607" s="652"/>
    </row>
    <row r="608" spans="1:36" x14ac:dyDescent="0.25">
      <c r="AJ608" s="652"/>
    </row>
    <row r="609" spans="36:36" x14ac:dyDescent="0.25">
      <c r="AJ609" s="652"/>
    </row>
    <row r="610" spans="36:36" x14ac:dyDescent="0.25">
      <c r="AJ610" s="652"/>
    </row>
    <row r="611" spans="36:36" x14ac:dyDescent="0.25">
      <c r="AJ611" s="652"/>
    </row>
    <row r="612" spans="36:36" x14ac:dyDescent="0.25">
      <c r="AJ612" s="652"/>
    </row>
    <row r="613" spans="36:36" x14ac:dyDescent="0.25">
      <c r="AJ613" s="652"/>
    </row>
    <row r="614" spans="36:36" x14ac:dyDescent="0.25">
      <c r="AJ614" s="652"/>
    </row>
    <row r="615" spans="36:36" x14ac:dyDescent="0.25">
      <c r="AJ615" s="652"/>
    </row>
    <row r="616" spans="36:36" x14ac:dyDescent="0.25">
      <c r="AJ616" s="652"/>
    </row>
    <row r="617" spans="36:36" x14ac:dyDescent="0.25">
      <c r="AJ617" s="652"/>
    </row>
    <row r="618" spans="36:36" x14ac:dyDescent="0.25">
      <c r="AJ618" s="652"/>
    </row>
    <row r="619" spans="36:36" x14ac:dyDescent="0.25">
      <c r="AJ619" s="652"/>
    </row>
    <row r="620" spans="36:36" x14ac:dyDescent="0.25">
      <c r="AJ620" s="652"/>
    </row>
    <row r="621" spans="36:36" x14ac:dyDescent="0.25">
      <c r="AJ621" s="652"/>
    </row>
    <row r="622" spans="36:36" x14ac:dyDescent="0.25">
      <c r="AJ622" s="652"/>
    </row>
    <row r="623" spans="36:36" x14ac:dyDescent="0.25">
      <c r="AJ623" s="652"/>
    </row>
    <row r="624" spans="36:36" x14ac:dyDescent="0.25">
      <c r="AJ624" s="652"/>
    </row>
    <row r="625" spans="36:36" x14ac:dyDescent="0.25">
      <c r="AJ625" s="652"/>
    </row>
    <row r="626" spans="36:36" x14ac:dyDescent="0.25">
      <c r="AJ626" s="652"/>
    </row>
    <row r="627" spans="36:36" x14ac:dyDescent="0.25">
      <c r="AJ627" s="652"/>
    </row>
    <row r="628" spans="36:36" x14ac:dyDescent="0.25">
      <c r="AJ628" s="652"/>
    </row>
    <row r="629" spans="36:36" x14ac:dyDescent="0.25">
      <c r="AJ629" s="652"/>
    </row>
    <row r="630" spans="36:36" x14ac:dyDescent="0.25">
      <c r="AJ630" s="652"/>
    </row>
    <row r="631" spans="36:36" x14ac:dyDescent="0.25">
      <c r="AJ631" s="652"/>
    </row>
    <row r="632" spans="36:36" x14ac:dyDescent="0.25">
      <c r="AJ632" s="652"/>
    </row>
    <row r="633" spans="36:36" x14ac:dyDescent="0.25">
      <c r="AJ633" s="652"/>
    </row>
    <row r="634" spans="36:36" x14ac:dyDescent="0.25">
      <c r="AJ634" s="652"/>
    </row>
    <row r="635" spans="36:36" x14ac:dyDescent="0.25">
      <c r="AJ635" s="652"/>
    </row>
    <row r="636" spans="36:36" x14ac:dyDescent="0.25">
      <c r="AJ636" s="652"/>
    </row>
    <row r="637" spans="36:36" x14ac:dyDescent="0.25">
      <c r="AJ637" s="652"/>
    </row>
    <row r="638" spans="36:36" x14ac:dyDescent="0.25">
      <c r="AJ638" s="652"/>
    </row>
    <row r="639" spans="36:36" x14ac:dyDescent="0.25">
      <c r="AJ639" s="652"/>
    </row>
    <row r="640" spans="36:36" x14ac:dyDescent="0.25">
      <c r="AJ640" s="652"/>
    </row>
    <row r="641" spans="36:36" x14ac:dyDescent="0.25">
      <c r="AJ641" s="652"/>
    </row>
    <row r="642" spans="36:36" x14ac:dyDescent="0.25">
      <c r="AJ642" s="652"/>
    </row>
    <row r="643" spans="36:36" x14ac:dyDescent="0.25">
      <c r="AJ643" s="652"/>
    </row>
    <row r="644" spans="36:36" x14ac:dyDescent="0.25">
      <c r="AJ644" s="652"/>
    </row>
    <row r="645" spans="36:36" x14ac:dyDescent="0.25">
      <c r="AJ645" s="652"/>
    </row>
    <row r="646" spans="36:36" x14ac:dyDescent="0.25">
      <c r="AJ646" s="652"/>
    </row>
    <row r="647" spans="36:36" x14ac:dyDescent="0.25">
      <c r="AJ647" s="652"/>
    </row>
    <row r="648" spans="36:36" x14ac:dyDescent="0.25">
      <c r="AJ648" s="652"/>
    </row>
    <row r="649" spans="36:36" x14ac:dyDescent="0.25">
      <c r="AJ649" s="652"/>
    </row>
  </sheetData>
  <sheetProtection formatCells="0" formatColumns="0" formatRows="0" insertRows="0" deleteRows="0" selectLockedCells="1" sort="0" autoFilter="0"/>
  <mergeCells count="443">
    <mergeCell ref="A588:AH588"/>
    <mergeCell ref="A589:AH589"/>
    <mergeCell ref="A590:AH590"/>
    <mergeCell ref="A591:AH591"/>
    <mergeCell ref="A592:AH592"/>
    <mergeCell ref="A593:AH593"/>
    <mergeCell ref="A578:AH578"/>
    <mergeCell ref="A579:AH579"/>
    <mergeCell ref="A580:AH580"/>
    <mergeCell ref="A582:AH582"/>
    <mergeCell ref="A584:AH584"/>
    <mergeCell ref="Y586:Z586"/>
    <mergeCell ref="A570:AH570"/>
    <mergeCell ref="Y572:Z572"/>
    <mergeCell ref="A574:AH574"/>
    <mergeCell ref="A575:AH575"/>
    <mergeCell ref="A576:AH576"/>
    <mergeCell ref="A577:AH577"/>
    <mergeCell ref="A558:AH558"/>
    <mergeCell ref="A560:AH560"/>
    <mergeCell ref="A562:AH562"/>
    <mergeCell ref="A564:AH564"/>
    <mergeCell ref="A566:AH566"/>
    <mergeCell ref="Y568:Z568"/>
    <mergeCell ref="A549:AH549"/>
    <mergeCell ref="A550:AH550"/>
    <mergeCell ref="A551:AH551"/>
    <mergeCell ref="A552:AH552"/>
    <mergeCell ref="Y554:Z554"/>
    <mergeCell ref="A556:AH556"/>
    <mergeCell ref="A538:AH538"/>
    <mergeCell ref="A540:AH540"/>
    <mergeCell ref="Y542:Z542"/>
    <mergeCell ref="A544:AH544"/>
    <mergeCell ref="A545:AH545"/>
    <mergeCell ref="Y547:Z547"/>
    <mergeCell ref="Y501:Z501"/>
    <mergeCell ref="Y503:Z503"/>
    <mergeCell ref="Y505:Z505"/>
    <mergeCell ref="Y507:Z507"/>
    <mergeCell ref="Y510:Z510"/>
    <mergeCell ref="A513:AH513"/>
    <mergeCell ref="A492:AH492"/>
    <mergeCell ref="A493:AH493"/>
    <mergeCell ref="A494:AH494"/>
    <mergeCell ref="A495:AH495"/>
    <mergeCell ref="A497:AH497"/>
    <mergeCell ref="Y499:Z499"/>
    <mergeCell ref="A481:AH481"/>
    <mergeCell ref="A483:AH483"/>
    <mergeCell ref="A486:AH486"/>
    <mergeCell ref="A488:AH488"/>
    <mergeCell ref="A490:AH490"/>
    <mergeCell ref="A491:AH491"/>
    <mergeCell ref="A473:AH473"/>
    <mergeCell ref="A474:AH474"/>
    <mergeCell ref="A475:AH475"/>
    <mergeCell ref="Y477:Z477"/>
    <mergeCell ref="A479:AH479"/>
    <mergeCell ref="A480:AH480"/>
    <mergeCell ref="A461:AH461"/>
    <mergeCell ref="A463:AH463"/>
    <mergeCell ref="A466:AH466"/>
    <mergeCell ref="A468:AH468"/>
    <mergeCell ref="Y470:Z470"/>
    <mergeCell ref="A472:AH472"/>
    <mergeCell ref="G458:O458"/>
    <mergeCell ref="P458:S458"/>
    <mergeCell ref="G459:O459"/>
    <mergeCell ref="P459:S459"/>
    <mergeCell ref="T459:AC459"/>
    <mergeCell ref="G456:O456"/>
    <mergeCell ref="P456:S456"/>
    <mergeCell ref="G457:O457"/>
    <mergeCell ref="P457:S457"/>
    <mergeCell ref="G453:O453"/>
    <mergeCell ref="P453:S453"/>
    <mergeCell ref="G454:O454"/>
    <mergeCell ref="P454:S454"/>
    <mergeCell ref="G455:O455"/>
    <mergeCell ref="P455:S455"/>
    <mergeCell ref="G450:O450"/>
    <mergeCell ref="P450:S450"/>
    <mergeCell ref="G451:O451"/>
    <mergeCell ref="P451:S451"/>
    <mergeCell ref="G452:O452"/>
    <mergeCell ref="P452:S452"/>
    <mergeCell ref="A444:AH444"/>
    <mergeCell ref="A446:AH446"/>
    <mergeCell ref="A448:AH448"/>
    <mergeCell ref="G449:O449"/>
    <mergeCell ref="P449:S449"/>
    <mergeCell ref="T449:AC449"/>
    <mergeCell ref="T450:AC451"/>
    <mergeCell ref="T452:AC452"/>
    <mergeCell ref="A434:AH434"/>
    <mergeCell ref="A435:AH435"/>
    <mergeCell ref="A436:AH436"/>
    <mergeCell ref="A438:AH438"/>
    <mergeCell ref="A440:AH440"/>
    <mergeCell ref="A442:AH442"/>
    <mergeCell ref="A424:AH424"/>
    <mergeCell ref="A426:AH426"/>
    <mergeCell ref="A428:AH428"/>
    <mergeCell ref="A430:AH430"/>
    <mergeCell ref="A432:AH432"/>
    <mergeCell ref="A433:AH433"/>
    <mergeCell ref="A411:AH411"/>
    <mergeCell ref="A412:AH412"/>
    <mergeCell ref="A413:AH413"/>
    <mergeCell ref="A414:AH414"/>
    <mergeCell ref="A416:AH416"/>
    <mergeCell ref="A418:AH418"/>
    <mergeCell ref="J401:U401"/>
    <mergeCell ref="V401:X401"/>
    <mergeCell ref="A403:AH403"/>
    <mergeCell ref="A405:AH405"/>
    <mergeCell ref="A407:AH407"/>
    <mergeCell ref="A409:AH409"/>
    <mergeCell ref="J398:U398"/>
    <mergeCell ref="V398:X398"/>
    <mergeCell ref="J399:U399"/>
    <mergeCell ref="V399:X399"/>
    <mergeCell ref="J400:U400"/>
    <mergeCell ref="V400:X400"/>
    <mergeCell ref="A388:AH388"/>
    <mergeCell ref="A390:AH390"/>
    <mergeCell ref="A392:AH392"/>
    <mergeCell ref="A394:AH394"/>
    <mergeCell ref="A396:AH396"/>
    <mergeCell ref="J397:U397"/>
    <mergeCell ref="V397:X397"/>
    <mergeCell ref="D385:P385"/>
    <mergeCell ref="Q385:AE385"/>
    <mergeCell ref="D386:P386"/>
    <mergeCell ref="Q386:AE386"/>
    <mergeCell ref="D387:P387"/>
    <mergeCell ref="Q387:AE387"/>
    <mergeCell ref="D382:P382"/>
    <mergeCell ref="Q382:AE382"/>
    <mergeCell ref="D383:P383"/>
    <mergeCell ref="Q383:AE383"/>
    <mergeCell ref="D384:P384"/>
    <mergeCell ref="Q384:AE384"/>
    <mergeCell ref="A373:AH373"/>
    <mergeCell ref="A374:AH374"/>
    <mergeCell ref="A376:AH376"/>
    <mergeCell ref="A378:AH378"/>
    <mergeCell ref="A380:AH380"/>
    <mergeCell ref="D381:P381"/>
    <mergeCell ref="Q381:AE381"/>
    <mergeCell ref="A366:AH366"/>
    <mergeCell ref="A368:AH368"/>
    <mergeCell ref="A369:AH369"/>
    <mergeCell ref="A370:AH370"/>
    <mergeCell ref="A371:AH371"/>
    <mergeCell ref="A372:AH372"/>
    <mergeCell ref="A354:AH354"/>
    <mergeCell ref="V356:W356"/>
    <mergeCell ref="A358:AH358"/>
    <mergeCell ref="V360:W360"/>
    <mergeCell ref="A362:AH362"/>
    <mergeCell ref="V364:W364"/>
    <mergeCell ref="V343:W343"/>
    <mergeCell ref="V344:W344"/>
    <mergeCell ref="V346:W346"/>
    <mergeCell ref="V348:W348"/>
    <mergeCell ref="A350:AH350"/>
    <mergeCell ref="V352:W352"/>
    <mergeCell ref="V334:W334"/>
    <mergeCell ref="V336:W336"/>
    <mergeCell ref="A338:AH338"/>
    <mergeCell ref="V340:W340"/>
    <mergeCell ref="V341:W341"/>
    <mergeCell ref="V342:W342"/>
    <mergeCell ref="J327:S327"/>
    <mergeCell ref="T327:Y327"/>
    <mergeCell ref="J328:S328"/>
    <mergeCell ref="T328:Y328"/>
    <mergeCell ref="V330:W330"/>
    <mergeCell ref="A332:AH332"/>
    <mergeCell ref="V317:W317"/>
    <mergeCell ref="V319:W319"/>
    <mergeCell ref="V321:W321"/>
    <mergeCell ref="A323:AH323"/>
    <mergeCell ref="A325:AH325"/>
    <mergeCell ref="J326:S326"/>
    <mergeCell ref="T326:Y326"/>
    <mergeCell ref="A307:AH307"/>
    <mergeCell ref="A308:AH308"/>
    <mergeCell ref="A309:AH309"/>
    <mergeCell ref="A311:AH311"/>
    <mergeCell ref="A313:AH313"/>
    <mergeCell ref="V315:W315"/>
    <mergeCell ref="A294:AH294"/>
    <mergeCell ref="A296:AH296"/>
    <mergeCell ref="A298:AH298"/>
    <mergeCell ref="A300:AH300"/>
    <mergeCell ref="A304:AH304"/>
    <mergeCell ref="A306:AH306"/>
    <mergeCell ref="A284:AH284"/>
    <mergeCell ref="A286:AH286"/>
    <mergeCell ref="A288:AH288"/>
    <mergeCell ref="A290:AH290"/>
    <mergeCell ref="A291:AH291"/>
    <mergeCell ref="A292:AH292"/>
    <mergeCell ref="A275:AH275"/>
    <mergeCell ref="A276:AH276"/>
    <mergeCell ref="A278:AH278"/>
    <mergeCell ref="A280:AH280"/>
    <mergeCell ref="A281:AH281"/>
    <mergeCell ref="A282:AH282"/>
    <mergeCell ref="A264:AH264"/>
    <mergeCell ref="A266:AH266"/>
    <mergeCell ref="A268:AH268"/>
    <mergeCell ref="A270:AH270"/>
    <mergeCell ref="A272:AH272"/>
    <mergeCell ref="A274:AH274"/>
    <mergeCell ref="A256:L256"/>
    <mergeCell ref="M256:AH256"/>
    <mergeCell ref="A258:AH258"/>
    <mergeCell ref="A260:AH260"/>
    <mergeCell ref="A262:AH262"/>
    <mergeCell ref="A263:AH263"/>
    <mergeCell ref="A251:AH251"/>
    <mergeCell ref="A253:L253"/>
    <mergeCell ref="M253:AH253"/>
    <mergeCell ref="A254:L254"/>
    <mergeCell ref="M254:AH254"/>
    <mergeCell ref="A255:L255"/>
    <mergeCell ref="M255:AH255"/>
    <mergeCell ref="A241:AH241"/>
    <mergeCell ref="A243:AH243"/>
    <mergeCell ref="A245:AH245"/>
    <mergeCell ref="A246:AH246"/>
    <mergeCell ref="A247:AH247"/>
    <mergeCell ref="A249:AH249"/>
    <mergeCell ref="A233:L233"/>
    <mergeCell ref="M233:AH233"/>
    <mergeCell ref="A235:AH235"/>
    <mergeCell ref="A237:AH237"/>
    <mergeCell ref="A239:AH239"/>
    <mergeCell ref="A240:AH240"/>
    <mergeCell ref="A228:AH228"/>
    <mergeCell ref="A230:L230"/>
    <mergeCell ref="M230:AH230"/>
    <mergeCell ref="A231:L231"/>
    <mergeCell ref="M231:AH231"/>
    <mergeCell ref="A232:L232"/>
    <mergeCell ref="M232:AH232"/>
    <mergeCell ref="A216:AH216"/>
    <mergeCell ref="A218:AH218"/>
    <mergeCell ref="A220:AH220"/>
    <mergeCell ref="A222:AH222"/>
    <mergeCell ref="A224:AH224"/>
    <mergeCell ref="A226:AH226"/>
    <mergeCell ref="A212:AH212"/>
    <mergeCell ref="J213:N213"/>
    <mergeCell ref="O213:S213"/>
    <mergeCell ref="T213:X213"/>
    <mergeCell ref="J214:N214"/>
    <mergeCell ref="O214:S214"/>
    <mergeCell ref="T214:X214"/>
    <mergeCell ref="A201:L201"/>
    <mergeCell ref="M201:AH201"/>
    <mergeCell ref="A202:L202"/>
    <mergeCell ref="M202:AH202"/>
    <mergeCell ref="A204:AH204"/>
    <mergeCell ref="A206:AH206"/>
    <mergeCell ref="A197:AH197"/>
    <mergeCell ref="A198:L198"/>
    <mergeCell ref="M198:AH198"/>
    <mergeCell ref="A199:L199"/>
    <mergeCell ref="M199:AH199"/>
    <mergeCell ref="A200:L200"/>
    <mergeCell ref="M200:AH200"/>
    <mergeCell ref="A185:AH185"/>
    <mergeCell ref="A187:AH187"/>
    <mergeCell ref="A189:AH189"/>
    <mergeCell ref="A191:AH191"/>
    <mergeCell ref="A193:AH193"/>
    <mergeCell ref="A195:AH195"/>
    <mergeCell ref="G177:M177"/>
    <mergeCell ref="N177:AB177"/>
    <mergeCell ref="G178:M180"/>
    <mergeCell ref="N178:AB180"/>
    <mergeCell ref="A181:AH181"/>
    <mergeCell ref="A183:AH183"/>
    <mergeCell ref="G171:M171"/>
    <mergeCell ref="N171:AB171"/>
    <mergeCell ref="G172:M174"/>
    <mergeCell ref="N172:AB174"/>
    <mergeCell ref="G175:M176"/>
    <mergeCell ref="N175:AB176"/>
    <mergeCell ref="N160:AB160"/>
    <mergeCell ref="G168:M168"/>
    <mergeCell ref="N168:AB168"/>
    <mergeCell ref="G169:M169"/>
    <mergeCell ref="N169:AB169"/>
    <mergeCell ref="G170:M170"/>
    <mergeCell ref="N170:AB170"/>
    <mergeCell ref="G165:M165"/>
    <mergeCell ref="N165:AB165"/>
    <mergeCell ref="G166:M166"/>
    <mergeCell ref="N166:AB166"/>
    <mergeCell ref="G167:M167"/>
    <mergeCell ref="N167:AB167"/>
    <mergeCell ref="A126:AH126"/>
    <mergeCell ref="A132:AH132"/>
    <mergeCell ref="A117:AH117"/>
    <mergeCell ref="A128:AH128"/>
    <mergeCell ref="A134:AH134"/>
    <mergeCell ref="A136:AH136"/>
    <mergeCell ref="G149:M150"/>
    <mergeCell ref="N149:AB150"/>
    <mergeCell ref="G151:M153"/>
    <mergeCell ref="N151:AB153"/>
    <mergeCell ref="G142:M143"/>
    <mergeCell ref="N142:AB143"/>
    <mergeCell ref="G144:M144"/>
    <mergeCell ref="N144:AB144"/>
    <mergeCell ref="G145:M148"/>
    <mergeCell ref="N145:AB148"/>
    <mergeCell ref="A130:AH130"/>
    <mergeCell ref="A115:AH115"/>
    <mergeCell ref="A121:AH121"/>
    <mergeCell ref="A123:AH123"/>
    <mergeCell ref="A124:AH124"/>
    <mergeCell ref="A125:AH125"/>
    <mergeCell ref="A106:AH106"/>
    <mergeCell ref="A108:AH108"/>
    <mergeCell ref="A110:AH110"/>
    <mergeCell ref="A111:AH111"/>
    <mergeCell ref="A112:AH112"/>
    <mergeCell ref="A113:AH113"/>
    <mergeCell ref="A119:AH119"/>
    <mergeCell ref="AJ101:AP103"/>
    <mergeCell ref="T101:AC101"/>
    <mergeCell ref="T102:AC102"/>
    <mergeCell ref="T103:AC103"/>
    <mergeCell ref="T104:AC104"/>
    <mergeCell ref="F101:S101"/>
    <mergeCell ref="F102:S102"/>
    <mergeCell ref="F103:S104"/>
    <mergeCell ref="A114:AH114"/>
    <mergeCell ref="T93:AC93"/>
    <mergeCell ref="F93:S93"/>
    <mergeCell ref="AJ95:AP97"/>
    <mergeCell ref="AJ98:AP100"/>
    <mergeCell ref="T94:AC94"/>
    <mergeCell ref="T95:AC95"/>
    <mergeCell ref="T96:AC96"/>
    <mergeCell ref="T97:AC97"/>
    <mergeCell ref="T98:AC98"/>
    <mergeCell ref="T99:AC99"/>
    <mergeCell ref="T100:AC100"/>
    <mergeCell ref="F94:S94"/>
    <mergeCell ref="F95:S95"/>
    <mergeCell ref="F99:S99"/>
    <mergeCell ref="F100:S100"/>
    <mergeCell ref="F96:S98"/>
    <mergeCell ref="A84:AH84"/>
    <mergeCell ref="A86:AH86"/>
    <mergeCell ref="A88:AH88"/>
    <mergeCell ref="A90:AA90"/>
    <mergeCell ref="A92:AH92"/>
    <mergeCell ref="A72:AH72"/>
    <mergeCell ref="A74:AH74"/>
    <mergeCell ref="A76:AH76"/>
    <mergeCell ref="A78:AH78"/>
    <mergeCell ref="A80:AH80"/>
    <mergeCell ref="A82:AH82"/>
    <mergeCell ref="A60:AH60"/>
    <mergeCell ref="A62:AH62"/>
    <mergeCell ref="A64:AH64"/>
    <mergeCell ref="A66:AH66"/>
    <mergeCell ref="A68:AH68"/>
    <mergeCell ref="A70:AH70"/>
    <mergeCell ref="A48:AH48"/>
    <mergeCell ref="A50:AH50"/>
    <mergeCell ref="A52:AH52"/>
    <mergeCell ref="A54:AH54"/>
    <mergeCell ref="A56:AH56"/>
    <mergeCell ref="A58:AH58"/>
    <mergeCell ref="A37:AH37"/>
    <mergeCell ref="A39:AH39"/>
    <mergeCell ref="AJ40:AP42"/>
    <mergeCell ref="A41:AH41"/>
    <mergeCell ref="A44:AH44"/>
    <mergeCell ref="A46:AH46"/>
    <mergeCell ref="A25:AH25"/>
    <mergeCell ref="A27:AH27"/>
    <mergeCell ref="A29:AH29"/>
    <mergeCell ref="A31:AH31"/>
    <mergeCell ref="A33:AH33"/>
    <mergeCell ref="AJ33:AP35"/>
    <mergeCell ref="A35:AH35"/>
    <mergeCell ref="A15:AH15"/>
    <mergeCell ref="A16:AH16"/>
    <mergeCell ref="A17:AH17"/>
    <mergeCell ref="A19:AH19"/>
    <mergeCell ref="A21:AH21"/>
    <mergeCell ref="A23:AH23"/>
    <mergeCell ref="AC6:AH6"/>
    <mergeCell ref="A8:AH8"/>
    <mergeCell ref="A10:AH10"/>
    <mergeCell ref="AJ10:AP12"/>
    <mergeCell ref="A12:AH12"/>
    <mergeCell ref="A14:AH14"/>
    <mergeCell ref="A1:H6"/>
    <mergeCell ref="I1:AH2"/>
    <mergeCell ref="I3:AH4"/>
    <mergeCell ref="I5:Q5"/>
    <mergeCell ref="R5:W5"/>
    <mergeCell ref="X5:AB5"/>
    <mergeCell ref="AC5:AH5"/>
    <mergeCell ref="I6:Q6"/>
    <mergeCell ref="R6:W6"/>
    <mergeCell ref="X6:AB6"/>
    <mergeCell ref="T453:AC453"/>
    <mergeCell ref="T456:AC456"/>
    <mergeCell ref="T457:AC457"/>
    <mergeCell ref="T458:AC458"/>
    <mergeCell ref="T454:AC455"/>
    <mergeCell ref="G137:M137"/>
    <mergeCell ref="N137:AB137"/>
    <mergeCell ref="G138:M138"/>
    <mergeCell ref="N138:AB138"/>
    <mergeCell ref="G139:M141"/>
    <mergeCell ref="N139:AB141"/>
    <mergeCell ref="G154:M155"/>
    <mergeCell ref="N154:AB155"/>
    <mergeCell ref="G161:M161"/>
    <mergeCell ref="N161:AB161"/>
    <mergeCell ref="G162:M163"/>
    <mergeCell ref="N162:AB163"/>
    <mergeCell ref="G164:M164"/>
    <mergeCell ref="N164:AB164"/>
    <mergeCell ref="A156:AH156"/>
    <mergeCell ref="A158:AH158"/>
    <mergeCell ref="G159:M159"/>
    <mergeCell ref="N159:AB159"/>
    <mergeCell ref="G160:M160"/>
  </mergeCells>
  <printOptions horizontalCentered="1"/>
  <pageMargins left="0.78740157480314965" right="0.78740157480314965" top="0.78740157480314965" bottom="0.78740157480314965" header="1.6929133858267718" footer="0.51181102362204722"/>
  <pageSetup scale="74" fitToHeight="0" orientation="portrait" r:id="rId1"/>
  <headerFooter>
    <oddHeader xml:space="preserve">&amp;R&amp;8&amp;P de &amp;N                         </oddHeader>
    <oddFooter>&amp;L&amp;8SER-GP-EL-SE-MC-002 V.1. 07-11-2022&amp;R&amp;8CÓDIGO SERINGTEC</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6">
    <pageSetUpPr fitToPage="1"/>
  </sheetPr>
  <dimension ref="A1:BJ32"/>
  <sheetViews>
    <sheetView view="pageBreakPreview" zoomScaleNormal="100" zoomScaleSheetLayoutView="100" workbookViewId="0">
      <selection activeCell="I1" sqref="I1:AH2"/>
    </sheetView>
  </sheetViews>
  <sheetFormatPr baseColWidth="10" defaultColWidth="2.5546875" defaultRowHeight="13.2" x14ac:dyDescent="0.25"/>
  <cols>
    <col min="1" max="34" width="3.5546875" style="305" customWidth="1"/>
    <col min="35" max="240" width="9.109375" style="305" customWidth="1"/>
    <col min="241" max="249" width="2.5546875" style="305" customWidth="1"/>
    <col min="250" max="250" width="3.44140625" style="305" customWidth="1"/>
    <col min="251" max="251" width="5.109375" style="305" customWidth="1"/>
    <col min="252" max="16384" width="2.5546875" style="305"/>
  </cols>
  <sheetData>
    <row r="1" spans="1:62" s="233" customFormat="1" ht="18" customHeight="1" thickTop="1" thickBot="1" x14ac:dyDescent="0.3">
      <c r="A1" s="1430"/>
      <c r="B1" s="1431"/>
      <c r="C1" s="1431"/>
      <c r="D1" s="1431"/>
      <c r="E1" s="1431"/>
      <c r="F1" s="1431"/>
      <c r="G1" s="1431"/>
      <c r="H1" s="1432"/>
      <c r="I1" s="1489" t="e">
        <f>#REF!</f>
        <v>#REF!</v>
      </c>
      <c r="J1" s="1440"/>
      <c r="K1" s="1440"/>
      <c r="L1" s="1440"/>
      <c r="M1" s="1440"/>
      <c r="N1" s="1440"/>
      <c r="O1" s="1440"/>
      <c r="P1" s="1440"/>
      <c r="Q1" s="1440"/>
      <c r="R1" s="1440"/>
      <c r="S1" s="1440"/>
      <c r="T1" s="1440"/>
      <c r="U1" s="1440"/>
      <c r="V1" s="1440"/>
      <c r="W1" s="1440"/>
      <c r="X1" s="1440"/>
      <c r="Y1" s="1440"/>
      <c r="Z1" s="1440"/>
      <c r="AA1" s="1440"/>
      <c r="AB1" s="1440"/>
      <c r="AC1" s="1440"/>
      <c r="AD1" s="1440"/>
      <c r="AE1" s="1440"/>
      <c r="AF1" s="1440"/>
      <c r="AG1" s="1440"/>
      <c r="AH1" s="1441"/>
    </row>
    <row r="2" spans="1:62" s="233" customFormat="1" ht="18" customHeight="1" thickTop="1" thickBot="1" x14ac:dyDescent="0.3">
      <c r="A2" s="1433"/>
      <c r="B2" s="1434"/>
      <c r="C2" s="1434"/>
      <c r="D2" s="1434"/>
      <c r="E2" s="1434"/>
      <c r="F2" s="1434"/>
      <c r="G2" s="1434"/>
      <c r="H2" s="1435"/>
      <c r="I2" s="1439"/>
      <c r="J2" s="1440"/>
      <c r="K2" s="1440"/>
      <c r="L2" s="1440"/>
      <c r="M2" s="1440"/>
      <c r="N2" s="1440"/>
      <c r="O2" s="1440"/>
      <c r="P2" s="1440"/>
      <c r="Q2" s="1440"/>
      <c r="R2" s="1440"/>
      <c r="S2" s="1440"/>
      <c r="T2" s="1440"/>
      <c r="U2" s="1440"/>
      <c r="V2" s="1440"/>
      <c r="W2" s="1440"/>
      <c r="X2" s="1440"/>
      <c r="Y2" s="1440"/>
      <c r="Z2" s="1440"/>
      <c r="AA2" s="1440"/>
      <c r="AB2" s="1440"/>
      <c r="AC2" s="1440"/>
      <c r="AD2" s="1440"/>
      <c r="AE2" s="1440"/>
      <c r="AF2" s="1440"/>
      <c r="AG2" s="1440"/>
      <c r="AH2" s="1441"/>
    </row>
    <row r="3" spans="1:62" s="233" customFormat="1" ht="21.75" customHeight="1" thickTop="1" x14ac:dyDescent="0.25">
      <c r="A3" s="1433"/>
      <c r="B3" s="1434"/>
      <c r="C3" s="1434"/>
      <c r="D3" s="1434"/>
      <c r="E3" s="1434"/>
      <c r="F3" s="1434"/>
      <c r="G3" s="1434"/>
      <c r="H3" s="1435"/>
      <c r="I3" s="1442" t="e">
        <f>#REF!</f>
        <v>#REF!</v>
      </c>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4"/>
    </row>
    <row r="4" spans="1:62" s="233" customFormat="1" ht="21.75" customHeight="1" thickBot="1" x14ac:dyDescent="0.3">
      <c r="A4" s="1433"/>
      <c r="B4" s="1434"/>
      <c r="C4" s="1434"/>
      <c r="D4" s="1434"/>
      <c r="E4" s="1434"/>
      <c r="F4" s="1434"/>
      <c r="G4" s="1434"/>
      <c r="H4" s="1435"/>
      <c r="I4" s="1445"/>
      <c r="J4" s="1446"/>
      <c r="K4" s="1446"/>
      <c r="L4" s="1446"/>
      <c r="M4" s="1446"/>
      <c r="N4" s="1446"/>
      <c r="O4" s="1446"/>
      <c r="P4" s="1446"/>
      <c r="Q4" s="1446"/>
      <c r="R4" s="1446"/>
      <c r="S4" s="1446"/>
      <c r="T4" s="1446"/>
      <c r="U4" s="1446"/>
      <c r="V4" s="1446"/>
      <c r="W4" s="1446"/>
      <c r="X4" s="1446"/>
      <c r="Y4" s="1446"/>
      <c r="Z4" s="1446"/>
      <c r="AA4" s="1446"/>
      <c r="AB4" s="1446"/>
      <c r="AC4" s="1446"/>
      <c r="AD4" s="1446"/>
      <c r="AE4" s="1446"/>
      <c r="AF4" s="1446"/>
      <c r="AG4" s="1446"/>
      <c r="AH4" s="1447"/>
    </row>
    <row r="5" spans="1:62" s="233" customFormat="1" ht="18" customHeight="1" thickTop="1" x14ac:dyDescent="0.25">
      <c r="A5" s="1433"/>
      <c r="B5" s="1434"/>
      <c r="C5" s="1434"/>
      <c r="D5" s="1434"/>
      <c r="E5" s="1434"/>
      <c r="F5" s="1434"/>
      <c r="G5" s="1434"/>
      <c r="H5" s="1435"/>
      <c r="I5" s="1448" t="s">
        <v>2</v>
      </c>
      <c r="J5" s="1448"/>
      <c r="K5" s="1448"/>
      <c r="L5" s="1448"/>
      <c r="M5" s="1448"/>
      <c r="N5" s="1448"/>
      <c r="O5" s="1448"/>
      <c r="P5" s="1448"/>
      <c r="Q5" s="1448"/>
      <c r="R5" s="1448" t="s">
        <v>3</v>
      </c>
      <c r="S5" s="1448"/>
      <c r="T5" s="1448"/>
      <c r="U5" s="1448"/>
      <c r="V5" s="1448"/>
      <c r="W5" s="1430"/>
      <c r="X5" s="1430" t="s">
        <v>4</v>
      </c>
      <c r="Y5" s="1431"/>
      <c r="Z5" s="1431"/>
      <c r="AA5" s="1431"/>
      <c r="AB5" s="1432"/>
      <c r="AC5" s="1432" t="s">
        <v>5</v>
      </c>
      <c r="AD5" s="1449"/>
      <c r="AE5" s="1449"/>
      <c r="AF5" s="1449"/>
      <c r="AG5" s="1449"/>
      <c r="AH5" s="1449"/>
    </row>
    <row r="6" spans="1:62" s="233" customFormat="1" ht="18" customHeight="1" thickBot="1" x14ac:dyDescent="0.3">
      <c r="A6" s="1436"/>
      <c r="B6" s="1437"/>
      <c r="C6" s="1437"/>
      <c r="D6" s="1437"/>
      <c r="E6" s="1437"/>
      <c r="F6" s="1437"/>
      <c r="G6" s="1437"/>
      <c r="H6" s="1438"/>
      <c r="I6" s="1490" t="e">
        <f>#REF!</f>
        <v>#REF!</v>
      </c>
      <c r="J6" s="1450"/>
      <c r="K6" s="1450"/>
      <c r="L6" s="1450"/>
      <c r="M6" s="1450"/>
      <c r="N6" s="1450"/>
      <c r="O6" s="1450"/>
      <c r="P6" s="1450"/>
      <c r="Q6" s="1450"/>
      <c r="R6" s="1450" t="e">
        <f>+#REF!</f>
        <v>#REF!</v>
      </c>
      <c r="S6" s="1450"/>
      <c r="T6" s="1450"/>
      <c r="U6" s="1450"/>
      <c r="V6" s="1450"/>
      <c r="W6" s="1436"/>
      <c r="X6" s="1491" t="e">
        <f>#REF!</f>
        <v>#REF!</v>
      </c>
      <c r="Y6" s="1492"/>
      <c r="Z6" s="1492"/>
      <c r="AA6" s="1492"/>
      <c r="AB6" s="1493"/>
      <c r="AC6" s="1453"/>
      <c r="AD6" s="1450"/>
      <c r="AE6" s="1450"/>
      <c r="AF6" s="1450"/>
      <c r="AG6" s="1450"/>
      <c r="AH6" s="1450"/>
    </row>
    <row r="7" spans="1:62" ht="13.8" thickTop="1" x14ac:dyDescent="0.25"/>
    <row r="8" spans="1:62" s="308" customFormat="1" ht="18" customHeight="1" x14ac:dyDescent="0.25">
      <c r="A8" s="1428" t="s">
        <v>1056</v>
      </c>
      <c r="B8" s="1428"/>
      <c r="C8" s="1428"/>
      <c r="D8" s="1428"/>
      <c r="E8" s="1428"/>
      <c r="F8" s="1428"/>
      <c r="G8" s="1428"/>
      <c r="H8" s="1428"/>
      <c r="I8" s="1428"/>
      <c r="J8" s="1428"/>
      <c r="K8" s="1428"/>
      <c r="L8" s="1428"/>
      <c r="M8" s="1428"/>
      <c r="N8" s="1428"/>
      <c r="O8" s="1428"/>
      <c r="P8" s="1428"/>
      <c r="Q8" s="1428"/>
      <c r="R8" s="1428"/>
      <c r="S8" s="1428"/>
      <c r="T8" s="1428"/>
      <c r="U8" s="1428"/>
      <c r="V8" s="1428"/>
      <c r="W8" s="1428"/>
      <c r="X8" s="1428"/>
      <c r="Y8" s="1428"/>
      <c r="Z8" s="1428"/>
      <c r="AA8" s="1428"/>
      <c r="AB8" s="1428"/>
      <c r="AC8" s="1428"/>
      <c r="AD8" s="1428"/>
      <c r="AE8" s="1428"/>
      <c r="AF8" s="1428"/>
      <c r="AG8" s="1428"/>
      <c r="AH8" s="1428"/>
    </row>
    <row r="9" spans="1:62" ht="14.1" customHeight="1" x14ac:dyDescent="0.25">
      <c r="A9" s="336"/>
      <c r="B9" s="336"/>
      <c r="C9" s="336"/>
      <c r="D9" s="336"/>
      <c r="E9" s="336"/>
      <c r="F9" s="507"/>
      <c r="G9" s="507"/>
      <c r="H9" s="306"/>
      <c r="I9" s="306"/>
      <c r="J9" s="306"/>
      <c r="K9" s="306"/>
      <c r="L9" s="306"/>
      <c r="M9" s="306"/>
      <c r="N9" s="306"/>
      <c r="O9" s="306"/>
      <c r="P9" s="306"/>
      <c r="Q9" s="306"/>
      <c r="R9" s="306"/>
      <c r="S9" s="306"/>
      <c r="T9" s="306"/>
      <c r="U9" s="306"/>
      <c r="V9" s="306"/>
      <c r="W9" s="306"/>
      <c r="X9" s="306"/>
      <c r="Y9" s="306"/>
      <c r="Z9" s="306"/>
      <c r="AA9" s="306"/>
      <c r="AB9" s="306"/>
      <c r="AC9" s="306"/>
      <c r="AD9" s="306"/>
      <c r="AE9" s="306"/>
      <c r="AF9" s="306"/>
      <c r="AG9" s="306"/>
      <c r="AH9" s="306"/>
    </row>
    <row r="10" spans="1:62" s="312" customFormat="1" ht="56.25" customHeight="1" x14ac:dyDescent="0.35">
      <c r="A10" s="1457" t="s">
        <v>1057</v>
      </c>
      <c r="B10" s="1457"/>
      <c r="C10" s="1457"/>
      <c r="D10" s="1457"/>
      <c r="E10" s="1457"/>
      <c r="F10" s="1457"/>
      <c r="G10" s="1457"/>
      <c r="H10" s="1457"/>
      <c r="I10" s="1457"/>
      <c r="J10" s="1457"/>
      <c r="K10" s="1457"/>
      <c r="L10" s="1457"/>
      <c r="M10" s="1457"/>
      <c r="N10" s="1457"/>
      <c r="O10" s="1457"/>
      <c r="P10" s="1457"/>
      <c r="Q10" s="1457"/>
      <c r="R10" s="1457"/>
      <c r="S10" s="1457"/>
      <c r="T10" s="1457"/>
      <c r="U10" s="1457"/>
      <c r="V10" s="1457"/>
      <c r="W10" s="1457"/>
      <c r="X10" s="1457"/>
      <c r="Y10" s="1457"/>
      <c r="Z10" s="1457"/>
      <c r="AA10" s="1457"/>
      <c r="AB10" s="1457"/>
      <c r="AC10" s="1457"/>
      <c r="AD10" s="1457"/>
      <c r="AE10" s="1457"/>
      <c r="AF10" s="1457"/>
      <c r="AG10" s="1457"/>
      <c r="AH10" s="1457"/>
      <c r="AJ10" s="509"/>
      <c r="AK10" s="310"/>
      <c r="AL10" s="510"/>
      <c r="AM10" s="335"/>
      <c r="AN10" s="335"/>
      <c r="AO10" s="1487"/>
      <c r="AP10" s="1487"/>
      <c r="AQ10" s="1487"/>
      <c r="AR10" s="1487"/>
      <c r="AS10" s="1487"/>
      <c r="AT10" s="1487"/>
      <c r="AU10" s="1487"/>
      <c r="AV10" s="1487"/>
      <c r="AW10" s="1487"/>
      <c r="AX10" s="1487"/>
      <c r="AY10" s="1487"/>
      <c r="AZ10" s="1487"/>
      <c r="BA10" s="1487"/>
      <c r="BB10" s="1487"/>
      <c r="BC10" s="1487"/>
      <c r="BD10" s="1487"/>
      <c r="BE10" s="1487"/>
      <c r="BF10" s="1487"/>
      <c r="BG10" s="1487"/>
      <c r="BH10" s="1487"/>
      <c r="BI10" s="1487"/>
      <c r="BJ10" s="1487"/>
    </row>
    <row r="11" spans="1:62" ht="13.5" customHeight="1" x14ac:dyDescent="0.25">
      <c r="A11" s="506"/>
      <c r="B11" s="506"/>
      <c r="C11" s="506"/>
      <c r="D11" s="506"/>
      <c r="E11" s="506"/>
      <c r="F11" s="517"/>
      <c r="G11" s="517"/>
      <c r="H11" s="517"/>
      <c r="I11" s="517"/>
      <c r="J11" s="517"/>
      <c r="K11" s="517"/>
      <c r="L11" s="517"/>
      <c r="M11" s="517"/>
      <c r="N11" s="517"/>
      <c r="O11" s="517"/>
      <c r="P11" s="517"/>
      <c r="Q11" s="517"/>
      <c r="R11" s="517"/>
      <c r="S11" s="517"/>
      <c r="T11" s="517"/>
      <c r="U11" s="517"/>
      <c r="V11" s="517"/>
      <c r="W11" s="517"/>
      <c r="X11" s="517"/>
      <c r="Y11" s="517"/>
      <c r="Z11" s="517"/>
      <c r="AA11" s="517"/>
      <c r="AB11" s="517"/>
      <c r="AC11" s="517"/>
      <c r="AD11" s="517"/>
      <c r="AE11" s="517"/>
      <c r="AF11" s="517"/>
      <c r="AG11" s="517"/>
      <c r="AH11" s="517"/>
    </row>
    <row r="12" spans="1:62" s="308" customFormat="1" ht="18" customHeight="1" x14ac:dyDescent="0.25">
      <c r="A12" s="1454" t="s">
        <v>1058</v>
      </c>
      <c r="B12" s="1454"/>
      <c r="C12" s="1454"/>
      <c r="D12" s="1454"/>
      <c r="E12" s="1454"/>
      <c r="F12" s="1454"/>
      <c r="G12" s="1454"/>
      <c r="H12" s="1454"/>
      <c r="I12" s="1454"/>
      <c r="J12" s="1454"/>
      <c r="K12" s="1454"/>
      <c r="L12" s="1454"/>
      <c r="M12" s="1454"/>
      <c r="N12" s="1454"/>
      <c r="O12" s="1454"/>
      <c r="P12" s="1454"/>
      <c r="Q12" s="1454"/>
      <c r="R12" s="1454"/>
      <c r="S12" s="1454"/>
      <c r="T12" s="1454"/>
      <c r="U12" s="1454"/>
      <c r="V12" s="1454"/>
      <c r="W12" s="1454"/>
      <c r="X12" s="1454"/>
      <c r="Y12" s="1454"/>
      <c r="Z12" s="1454"/>
      <c r="AA12" s="1454"/>
      <c r="AB12" s="1454"/>
      <c r="AC12" s="1454"/>
      <c r="AD12" s="1454"/>
      <c r="AE12" s="1454"/>
      <c r="AF12" s="1454"/>
      <c r="AG12" s="1454"/>
      <c r="AH12" s="1454"/>
      <c r="AJ12" s="508"/>
      <c r="AK12" s="310"/>
      <c r="AL12" s="311"/>
      <c r="AM12" s="309"/>
      <c r="AN12" s="309"/>
      <c r="AO12" s="1488"/>
      <c r="AP12" s="1488"/>
      <c r="AQ12" s="1488"/>
      <c r="AR12" s="1488"/>
      <c r="AS12" s="1488"/>
      <c r="AT12" s="1488"/>
      <c r="AU12" s="1488"/>
      <c r="AV12" s="1488"/>
      <c r="AW12" s="1488"/>
      <c r="AX12" s="1488"/>
      <c r="AY12" s="1488"/>
      <c r="AZ12" s="1488"/>
      <c r="BA12" s="1488"/>
      <c r="BB12" s="1488"/>
      <c r="BC12" s="1488"/>
      <c r="BD12" s="1488"/>
      <c r="BE12" s="1488"/>
      <c r="BF12" s="1488"/>
      <c r="BG12" s="1488"/>
      <c r="BH12" s="1488"/>
      <c r="BI12" s="1488"/>
      <c r="BJ12" s="1488"/>
    </row>
    <row r="13" spans="1:62" ht="13.5" customHeight="1" x14ac:dyDescent="0.25">
      <c r="A13" s="506"/>
      <c r="B13" s="506"/>
      <c r="C13" s="506"/>
      <c r="D13" s="506"/>
      <c r="E13" s="506"/>
      <c r="F13" s="517"/>
      <c r="G13" s="517"/>
      <c r="H13" s="517"/>
      <c r="I13" s="517"/>
      <c r="J13" s="517"/>
      <c r="K13" s="517"/>
      <c r="L13" s="517"/>
      <c r="M13" s="517"/>
      <c r="N13" s="517"/>
      <c r="O13" s="517"/>
      <c r="P13" s="517"/>
      <c r="Q13" s="517"/>
      <c r="R13" s="517"/>
      <c r="S13" s="517"/>
      <c r="T13" s="517"/>
      <c r="U13" s="517"/>
      <c r="V13" s="517"/>
      <c r="W13" s="517"/>
      <c r="X13" s="517"/>
      <c r="Y13" s="517"/>
      <c r="Z13" s="517"/>
      <c r="AA13" s="517"/>
      <c r="AB13" s="517"/>
      <c r="AC13" s="517"/>
      <c r="AD13" s="517"/>
      <c r="AE13" s="517"/>
      <c r="AF13" s="517"/>
      <c r="AG13" s="517"/>
      <c r="AH13" s="517"/>
    </row>
    <row r="14" spans="1:62" s="312" customFormat="1" ht="28.5" customHeight="1" x14ac:dyDescent="0.35">
      <c r="A14" s="1457" t="s">
        <v>1059</v>
      </c>
      <c r="B14" s="1457"/>
      <c r="C14" s="1457"/>
      <c r="D14" s="1457"/>
      <c r="E14" s="1457"/>
      <c r="F14" s="1457"/>
      <c r="G14" s="1457"/>
      <c r="H14" s="1457"/>
      <c r="I14" s="1457"/>
      <c r="J14" s="1457"/>
      <c r="K14" s="1457"/>
      <c r="L14" s="1457"/>
      <c r="M14" s="1457"/>
      <c r="N14" s="1457"/>
      <c r="O14" s="1457"/>
      <c r="P14" s="1457"/>
      <c r="Q14" s="1457"/>
      <c r="R14" s="1457"/>
      <c r="S14" s="1457"/>
      <c r="T14" s="1457"/>
      <c r="U14" s="1457"/>
      <c r="V14" s="1457"/>
      <c r="W14" s="1457"/>
      <c r="X14" s="1457"/>
      <c r="Y14" s="1457"/>
      <c r="Z14" s="1457"/>
      <c r="AA14" s="1457"/>
      <c r="AB14" s="1457"/>
      <c r="AC14" s="1457"/>
      <c r="AD14" s="1457"/>
      <c r="AE14" s="1457"/>
      <c r="AF14" s="1457"/>
      <c r="AG14" s="1457"/>
      <c r="AH14" s="1457"/>
      <c r="AJ14" s="509"/>
      <c r="AK14" s="310"/>
      <c r="AL14" s="510"/>
      <c r="AM14" s="335"/>
      <c r="AN14" s="335"/>
      <c r="AO14" s="1487"/>
      <c r="AP14" s="1487"/>
      <c r="AQ14" s="1487"/>
      <c r="AR14" s="1487"/>
      <c r="AS14" s="1487"/>
      <c r="AT14" s="1487"/>
      <c r="AU14" s="1487"/>
      <c r="AV14" s="1487"/>
      <c r="AW14" s="1487"/>
      <c r="AX14" s="1487"/>
      <c r="AY14" s="1487"/>
      <c r="AZ14" s="1487"/>
      <c r="BA14" s="1487"/>
      <c r="BB14" s="1487"/>
      <c r="BC14" s="1487"/>
      <c r="BD14" s="1487"/>
      <c r="BE14" s="1487"/>
      <c r="BF14" s="1487"/>
      <c r="BG14" s="1487"/>
      <c r="BH14" s="1487"/>
      <c r="BI14" s="1487"/>
      <c r="BJ14" s="1487"/>
    </row>
    <row r="15" spans="1:62" ht="13.5" customHeight="1" x14ac:dyDescent="0.25">
      <c r="A15" s="506"/>
      <c r="B15" s="506"/>
      <c r="C15" s="506"/>
      <c r="D15" s="506"/>
      <c r="E15" s="506"/>
      <c r="F15" s="517"/>
      <c r="G15" s="517"/>
      <c r="H15" s="517"/>
      <c r="I15" s="517"/>
      <c r="J15" s="517"/>
      <c r="K15" s="517"/>
      <c r="L15" s="517"/>
      <c r="M15" s="517"/>
      <c r="N15" s="517"/>
      <c r="O15" s="517"/>
      <c r="P15" s="517"/>
      <c r="Q15" s="517"/>
      <c r="R15" s="517"/>
      <c r="S15" s="517"/>
      <c r="T15" s="517"/>
      <c r="U15" s="517"/>
      <c r="V15" s="517"/>
      <c r="W15" s="517"/>
      <c r="X15" s="517"/>
      <c r="Y15" s="517"/>
      <c r="Z15" s="517"/>
      <c r="AA15" s="517"/>
      <c r="AB15" s="517"/>
      <c r="AC15" s="517"/>
      <c r="AD15" s="517"/>
      <c r="AE15" s="517"/>
      <c r="AF15" s="517"/>
      <c r="AG15" s="517"/>
      <c r="AH15" s="517"/>
    </row>
    <row r="16" spans="1:62" s="312" customFormat="1" ht="28.5" customHeight="1" x14ac:dyDescent="0.35">
      <c r="A16" s="1457" t="s">
        <v>1060</v>
      </c>
      <c r="B16" s="1457"/>
      <c r="C16" s="1457"/>
      <c r="D16" s="1457"/>
      <c r="E16" s="1457"/>
      <c r="F16" s="1457"/>
      <c r="G16" s="1457"/>
      <c r="H16" s="1457"/>
      <c r="I16" s="1457"/>
      <c r="J16" s="1457"/>
      <c r="K16" s="1457"/>
      <c r="L16" s="1457"/>
      <c r="M16" s="1457"/>
      <c r="N16" s="1457"/>
      <c r="O16" s="1457"/>
      <c r="P16" s="1457"/>
      <c r="Q16" s="1457"/>
      <c r="R16" s="1457"/>
      <c r="S16" s="1457"/>
      <c r="T16" s="1457"/>
      <c r="U16" s="1457"/>
      <c r="V16" s="1457"/>
      <c r="W16" s="1457"/>
      <c r="X16" s="1457"/>
      <c r="Y16" s="1457"/>
      <c r="Z16" s="1457"/>
      <c r="AA16" s="1457"/>
      <c r="AB16" s="1457"/>
      <c r="AC16" s="1457"/>
      <c r="AD16" s="1457"/>
      <c r="AE16" s="1457"/>
      <c r="AF16" s="1457"/>
      <c r="AG16" s="1457"/>
      <c r="AH16" s="1457"/>
      <c r="AJ16" s="509"/>
      <c r="AK16" s="310"/>
      <c r="AL16" s="510"/>
      <c r="AM16" s="335"/>
      <c r="AN16" s="335"/>
      <c r="AO16" s="1487"/>
      <c r="AP16" s="1487"/>
      <c r="AQ16" s="1487"/>
      <c r="AR16" s="1487"/>
      <c r="AS16" s="1487"/>
      <c r="AT16" s="1487"/>
      <c r="AU16" s="1487"/>
      <c r="AV16" s="1487"/>
      <c r="AW16" s="1487"/>
      <c r="AX16" s="1487"/>
      <c r="AY16" s="1487"/>
      <c r="AZ16" s="1487"/>
      <c r="BA16" s="1487"/>
      <c r="BB16" s="1487"/>
      <c r="BC16" s="1487"/>
      <c r="BD16" s="1487"/>
      <c r="BE16" s="1487"/>
      <c r="BF16" s="1487"/>
      <c r="BG16" s="1487"/>
      <c r="BH16" s="1487"/>
      <c r="BI16" s="1487"/>
      <c r="BJ16" s="1487"/>
    </row>
    <row r="17" spans="1:62" ht="13.5" customHeight="1" x14ac:dyDescent="0.25">
      <c r="A17" s="506"/>
      <c r="B17" s="506"/>
      <c r="C17" s="506"/>
      <c r="D17" s="506"/>
      <c r="E17" s="506"/>
      <c r="F17" s="517"/>
      <c r="G17" s="517"/>
      <c r="H17" s="517"/>
      <c r="I17" s="517"/>
      <c r="J17" s="517"/>
      <c r="K17" s="517"/>
      <c r="L17" s="517"/>
      <c r="M17" s="517"/>
      <c r="N17" s="517"/>
      <c r="O17" s="517"/>
      <c r="P17" s="517"/>
      <c r="Q17" s="517"/>
      <c r="R17" s="517"/>
      <c r="S17" s="517"/>
      <c r="T17" s="517"/>
      <c r="U17" s="517"/>
      <c r="V17" s="517"/>
      <c r="W17" s="517"/>
      <c r="X17" s="517"/>
      <c r="Y17" s="517"/>
      <c r="Z17" s="517"/>
      <c r="AA17" s="517"/>
      <c r="AB17" s="517"/>
      <c r="AC17" s="517"/>
      <c r="AD17" s="517"/>
      <c r="AE17" s="517"/>
      <c r="AF17" s="517"/>
      <c r="AG17" s="517"/>
      <c r="AH17" s="517"/>
    </row>
    <row r="18" spans="1:62" s="312" customFormat="1" ht="28.5" customHeight="1" x14ac:dyDescent="0.35">
      <c r="A18" s="1457" t="s">
        <v>1061</v>
      </c>
      <c r="B18" s="1457"/>
      <c r="C18" s="1457"/>
      <c r="D18" s="1457"/>
      <c r="E18" s="1457"/>
      <c r="F18" s="1457"/>
      <c r="G18" s="1457"/>
      <c r="H18" s="1457"/>
      <c r="I18" s="1457"/>
      <c r="J18" s="1457"/>
      <c r="K18" s="1457"/>
      <c r="L18" s="1457"/>
      <c r="M18" s="1457"/>
      <c r="N18" s="1457"/>
      <c r="O18" s="1457"/>
      <c r="P18" s="1457"/>
      <c r="Q18" s="1457"/>
      <c r="R18" s="1457"/>
      <c r="S18" s="1457"/>
      <c r="T18" s="1457"/>
      <c r="U18" s="1457"/>
      <c r="V18" s="1457"/>
      <c r="W18" s="1457"/>
      <c r="X18" s="1457"/>
      <c r="Y18" s="1457"/>
      <c r="Z18" s="1457"/>
      <c r="AA18" s="1457"/>
      <c r="AB18" s="1457"/>
      <c r="AC18" s="1457"/>
      <c r="AD18" s="1457"/>
      <c r="AE18" s="1457"/>
      <c r="AF18" s="1457"/>
      <c r="AG18" s="1457"/>
      <c r="AH18" s="1457"/>
      <c r="AJ18" s="509"/>
      <c r="AK18" s="310"/>
      <c r="AL18" s="510"/>
      <c r="AM18" s="335"/>
      <c r="AN18" s="335"/>
      <c r="AO18" s="1487"/>
      <c r="AP18" s="1487"/>
      <c r="AQ18" s="1487"/>
      <c r="AR18" s="1487"/>
      <c r="AS18" s="1487"/>
      <c r="AT18" s="1487"/>
      <c r="AU18" s="1487"/>
      <c r="AV18" s="1487"/>
      <c r="AW18" s="1487"/>
      <c r="AX18" s="1487"/>
      <c r="AY18" s="1487"/>
      <c r="AZ18" s="1487"/>
      <c r="BA18" s="1487"/>
      <c r="BB18" s="1487"/>
      <c r="BC18" s="1487"/>
      <c r="BD18" s="1487"/>
      <c r="BE18" s="1487"/>
      <c r="BF18" s="1487"/>
      <c r="BG18" s="1487"/>
      <c r="BH18" s="1487"/>
      <c r="BI18" s="1487"/>
      <c r="BJ18" s="1487"/>
    </row>
    <row r="19" spans="1:62" ht="13.5" customHeight="1" x14ac:dyDescent="0.25">
      <c r="A19" s="506"/>
      <c r="B19" s="506"/>
      <c r="C19" s="506"/>
      <c r="D19" s="506"/>
      <c r="E19" s="506"/>
      <c r="F19" s="517"/>
      <c r="G19" s="517"/>
      <c r="H19" s="517"/>
      <c r="I19" s="517"/>
      <c r="J19" s="517"/>
      <c r="K19" s="517"/>
      <c r="L19" s="517"/>
      <c r="M19" s="517"/>
      <c r="N19" s="517"/>
      <c r="O19" s="517"/>
      <c r="P19" s="517"/>
      <c r="Q19" s="517"/>
      <c r="R19" s="517"/>
      <c r="S19" s="517"/>
      <c r="T19" s="517"/>
      <c r="U19" s="517"/>
      <c r="V19" s="517"/>
      <c r="W19" s="517"/>
      <c r="X19" s="517"/>
      <c r="Y19" s="517"/>
      <c r="Z19" s="517"/>
      <c r="AA19" s="517"/>
      <c r="AB19" s="517"/>
      <c r="AC19" s="517"/>
      <c r="AD19" s="517"/>
      <c r="AE19" s="517"/>
      <c r="AF19" s="517"/>
      <c r="AG19" s="517"/>
      <c r="AH19" s="517"/>
    </row>
    <row r="20" spans="1:62" s="312" customFormat="1" ht="28.5" customHeight="1" x14ac:dyDescent="0.35">
      <c r="A20" s="1457" t="s">
        <v>1062</v>
      </c>
      <c r="B20" s="1457"/>
      <c r="C20" s="1457"/>
      <c r="D20" s="1457"/>
      <c r="E20" s="1457"/>
      <c r="F20" s="1457"/>
      <c r="G20" s="1457"/>
      <c r="H20" s="1457"/>
      <c r="I20" s="1457"/>
      <c r="J20" s="1457"/>
      <c r="K20" s="1457"/>
      <c r="L20" s="1457"/>
      <c r="M20" s="1457"/>
      <c r="N20" s="1457"/>
      <c r="O20" s="1457"/>
      <c r="P20" s="1457"/>
      <c r="Q20" s="1457"/>
      <c r="R20" s="1457"/>
      <c r="S20" s="1457"/>
      <c r="T20" s="1457"/>
      <c r="U20" s="1457"/>
      <c r="V20" s="1457"/>
      <c r="W20" s="1457"/>
      <c r="X20" s="1457"/>
      <c r="Y20" s="1457"/>
      <c r="Z20" s="1457"/>
      <c r="AA20" s="1457"/>
      <c r="AB20" s="1457"/>
      <c r="AC20" s="1457"/>
      <c r="AD20" s="1457"/>
      <c r="AE20" s="1457"/>
      <c r="AF20" s="1457"/>
      <c r="AG20" s="1457"/>
      <c r="AH20" s="1457"/>
      <c r="AJ20" s="509"/>
      <c r="AK20" s="310"/>
      <c r="AL20" s="510"/>
      <c r="AM20" s="335"/>
      <c r="AN20" s="335"/>
      <c r="AO20" s="1487"/>
      <c r="AP20" s="1487"/>
      <c r="AQ20" s="1487"/>
      <c r="AR20" s="1487"/>
      <c r="AS20" s="1487"/>
      <c r="AT20" s="1487"/>
      <c r="AU20" s="1487"/>
      <c r="AV20" s="1487"/>
      <c r="AW20" s="1487"/>
      <c r="AX20" s="1487"/>
      <c r="AY20" s="1487"/>
      <c r="AZ20" s="1487"/>
      <c r="BA20" s="1487"/>
      <c r="BB20" s="1487"/>
      <c r="BC20" s="1487"/>
      <c r="BD20" s="1487"/>
      <c r="BE20" s="1487"/>
      <c r="BF20" s="1487"/>
      <c r="BG20" s="1487"/>
      <c r="BH20" s="1487"/>
      <c r="BI20" s="1487"/>
      <c r="BJ20" s="1487"/>
    </row>
    <row r="21" spans="1:62" ht="13.5" customHeight="1" x14ac:dyDescent="0.25">
      <c r="A21" s="506"/>
      <c r="B21" s="506"/>
      <c r="C21" s="506"/>
      <c r="D21" s="506"/>
      <c r="E21" s="506"/>
      <c r="F21" s="517"/>
      <c r="G21" s="517"/>
      <c r="H21" s="517"/>
      <c r="I21" s="517"/>
      <c r="J21" s="517"/>
      <c r="K21" s="517"/>
      <c r="L21" s="517"/>
      <c r="M21" s="517"/>
      <c r="N21" s="517"/>
      <c r="O21" s="517"/>
      <c r="P21" s="517"/>
      <c r="Q21" s="517"/>
      <c r="R21" s="517"/>
      <c r="S21" s="517"/>
      <c r="T21" s="517"/>
      <c r="U21" s="517"/>
      <c r="V21" s="517"/>
      <c r="W21" s="517"/>
      <c r="X21" s="517"/>
      <c r="Y21" s="517"/>
      <c r="Z21" s="517"/>
      <c r="AA21" s="517"/>
      <c r="AB21" s="517"/>
      <c r="AC21" s="517"/>
      <c r="AD21" s="517"/>
      <c r="AE21" s="517"/>
      <c r="AF21" s="517"/>
      <c r="AG21" s="517"/>
      <c r="AH21" s="517"/>
    </row>
    <row r="22" spans="1:62" ht="13.5" customHeight="1" x14ac:dyDescent="0.25"/>
    <row r="23" spans="1:62" ht="13.5" customHeight="1" x14ac:dyDescent="0.25">
      <c r="M23" s="312"/>
    </row>
    <row r="24" spans="1:62" ht="13.5" customHeight="1" x14ac:dyDescent="0.25"/>
    <row r="25" spans="1:62" ht="13.5" customHeight="1" x14ac:dyDescent="0.25"/>
    <row r="26" spans="1:62" ht="13.5" customHeight="1" x14ac:dyDescent="0.25"/>
    <row r="27" spans="1:62" ht="13.5" customHeight="1" x14ac:dyDescent="0.25"/>
    <row r="28" spans="1:62" ht="13.5" customHeight="1" x14ac:dyDescent="0.25"/>
    <row r="29" spans="1:62" ht="13.5" customHeight="1" x14ac:dyDescent="0.25"/>
    <row r="30" spans="1:62" ht="13.5" customHeight="1" x14ac:dyDescent="0.25"/>
    <row r="31" spans="1:62" ht="13.5" customHeight="1" x14ac:dyDescent="0.25"/>
    <row r="32" spans="1:62" ht="13.5" customHeight="1" x14ac:dyDescent="0.25"/>
  </sheetData>
  <sheetProtection formatCells="0" formatRows="0" selectLockedCells="1"/>
  <mergeCells count="24">
    <mergeCell ref="A8:AH8"/>
    <mergeCell ref="AC6:AH6"/>
    <mergeCell ref="A1:H6"/>
    <mergeCell ref="I1:AH2"/>
    <mergeCell ref="I3:AH4"/>
    <mergeCell ref="I5:Q5"/>
    <mergeCell ref="R5:W5"/>
    <mergeCell ref="X5:AB5"/>
    <mergeCell ref="AC5:AH5"/>
    <mergeCell ref="I6:Q6"/>
    <mergeCell ref="R6:W6"/>
    <mergeCell ref="X6:AB6"/>
    <mergeCell ref="A10:AH10"/>
    <mergeCell ref="AO10:BJ10"/>
    <mergeCell ref="A12:AH12"/>
    <mergeCell ref="AO12:BJ12"/>
    <mergeCell ref="A14:AH14"/>
    <mergeCell ref="AO14:BJ14"/>
    <mergeCell ref="A20:AH20"/>
    <mergeCell ref="AO20:BJ20"/>
    <mergeCell ref="A16:AH16"/>
    <mergeCell ref="AO16:BJ16"/>
    <mergeCell ref="A18:AH18"/>
    <mergeCell ref="AO18:BJ18"/>
  </mergeCells>
  <printOptions horizontalCentered="1"/>
  <pageMargins left="0.78740157480314965" right="0.78740157480314965" top="0.78740157480314965" bottom="0.78740157480314965" header="1.6929133858267718" footer="0.51181102362204722"/>
  <pageSetup scale="74" fitToHeight="0" orientation="portrait" r:id="rId1"/>
  <headerFooter>
    <oddHeader xml:space="preserve">&amp;R&amp;8&amp;P de &amp;N                          </oddHeader>
    <oddFooter>&amp;L&amp;8SER-GP-EL-SE-MC-002 V.1. 07-11-2022&amp;R&amp;8CÓDIGO SERINGTEC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6469E-7312-43CC-8231-1C6F882167A1}">
  <dimension ref="A1:H29"/>
  <sheetViews>
    <sheetView tabSelected="1" topLeftCell="A7" workbookViewId="0">
      <selection activeCell="H29" sqref="H29"/>
    </sheetView>
  </sheetViews>
  <sheetFormatPr baseColWidth="10" defaultRowHeight="13.2" x14ac:dyDescent="0.25"/>
  <cols>
    <col min="3" max="3" width="35.33203125" customWidth="1"/>
    <col min="4" max="4" width="73.6640625" customWidth="1"/>
  </cols>
  <sheetData>
    <row r="1" spans="1:7" x14ac:dyDescent="0.25">
      <c r="A1" s="75"/>
      <c r="C1" s="75" t="s">
        <v>2059</v>
      </c>
    </row>
    <row r="2" spans="1:7" ht="39.6" x14ac:dyDescent="0.25">
      <c r="C2" s="75" t="s">
        <v>2052</v>
      </c>
      <c r="D2" s="143" t="s">
        <v>2053</v>
      </c>
    </row>
    <row r="3" spans="1:7" ht="66" x14ac:dyDescent="0.25">
      <c r="C3" s="75" t="s">
        <v>2051</v>
      </c>
      <c r="D3" s="143" t="s">
        <v>2054</v>
      </c>
    </row>
    <row r="4" spans="1:7" x14ac:dyDescent="0.25">
      <c r="C4" s="75" t="s">
        <v>2055</v>
      </c>
      <c r="D4" s="75" t="s">
        <v>2056</v>
      </c>
    </row>
    <row r="5" spans="1:7" ht="39.6" x14ac:dyDescent="0.25">
      <c r="C5" s="75" t="s">
        <v>2057</v>
      </c>
      <c r="D5" s="143" t="s">
        <v>2058</v>
      </c>
    </row>
    <row r="6" spans="1:7" ht="26.4" x14ac:dyDescent="0.25">
      <c r="C6" s="75" t="s">
        <v>2067</v>
      </c>
      <c r="D6" s="143" t="s">
        <v>2068</v>
      </c>
    </row>
    <row r="7" spans="1:7" ht="39.6" x14ac:dyDescent="0.25">
      <c r="C7" s="75" t="s">
        <v>2060</v>
      </c>
      <c r="D7" s="143" t="s">
        <v>2069</v>
      </c>
    </row>
    <row r="8" spans="1:7" x14ac:dyDescent="0.25">
      <c r="C8" s="75" t="s">
        <v>2061</v>
      </c>
      <c r="D8" s="143" t="s">
        <v>2062</v>
      </c>
    </row>
    <row r="9" spans="1:7" ht="66" x14ac:dyDescent="0.25">
      <c r="C9" s="75" t="s">
        <v>2064</v>
      </c>
      <c r="D9" s="143" t="s">
        <v>2065</v>
      </c>
    </row>
    <row r="10" spans="1:7" ht="26.4" x14ac:dyDescent="0.25">
      <c r="C10" s="75" t="s">
        <v>2063</v>
      </c>
      <c r="D10" s="143" t="s">
        <v>2066</v>
      </c>
    </row>
    <row r="11" spans="1:7" x14ac:dyDescent="0.25">
      <c r="C11" s="75" t="s">
        <v>2071</v>
      </c>
      <c r="D11" s="143" t="s">
        <v>2070</v>
      </c>
    </row>
    <row r="12" spans="1:7" x14ac:dyDescent="0.25">
      <c r="C12" s="75" t="s">
        <v>2072</v>
      </c>
      <c r="D12" s="143" t="s">
        <v>2073</v>
      </c>
      <c r="G12" s="75"/>
    </row>
    <row r="13" spans="1:7" x14ac:dyDescent="0.25">
      <c r="C13" s="75" t="s">
        <v>2074</v>
      </c>
      <c r="D13" s="143" t="s">
        <v>2073</v>
      </c>
    </row>
    <row r="14" spans="1:7" x14ac:dyDescent="0.25">
      <c r="G14" s="75"/>
    </row>
    <row r="15" spans="1:7" x14ac:dyDescent="0.25">
      <c r="G15" s="75"/>
    </row>
    <row r="19" spans="3:8" x14ac:dyDescent="0.25">
      <c r="C19" s="75" t="s">
        <v>2075</v>
      </c>
    </row>
    <row r="20" spans="3:8" x14ac:dyDescent="0.25">
      <c r="C20" s="75" t="s">
        <v>2080</v>
      </c>
    </row>
    <row r="21" spans="3:8" x14ac:dyDescent="0.25">
      <c r="C21" s="75" t="s">
        <v>2076</v>
      </c>
      <c r="D21" s="75" t="s">
        <v>2077</v>
      </c>
    </row>
    <row r="22" spans="3:8" x14ac:dyDescent="0.25">
      <c r="C22" s="75" t="s">
        <v>2078</v>
      </c>
      <c r="D22" s="75" t="s">
        <v>2079</v>
      </c>
    </row>
    <row r="23" spans="3:8" x14ac:dyDescent="0.25">
      <c r="C23" s="75" t="s">
        <v>2081</v>
      </c>
      <c r="D23" s="75" t="s">
        <v>2083</v>
      </c>
    </row>
    <row r="24" spans="3:8" x14ac:dyDescent="0.25">
      <c r="C24" s="75" t="s">
        <v>2082</v>
      </c>
      <c r="D24" s="75" t="s">
        <v>2084</v>
      </c>
    </row>
    <row r="28" spans="3:8" x14ac:dyDescent="0.25">
      <c r="H28">
        <f>1000/(1.73*480)*1000</f>
        <v>1204.2389210019269</v>
      </c>
    </row>
    <row r="29" spans="3:8" x14ac:dyDescent="0.25">
      <c r="H29">
        <f>H28/5%</f>
        <v>24084.778420038536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C7751-D1D8-4A92-9653-CB2509A5BE82}">
  <sheetPr>
    <pageSetUpPr fitToPage="1"/>
  </sheetPr>
  <dimension ref="A1:AH59"/>
  <sheetViews>
    <sheetView view="pageBreakPreview" zoomScaleNormal="100" zoomScaleSheetLayoutView="100" workbookViewId="0">
      <selection activeCell="I1" sqref="I1:AH2"/>
    </sheetView>
  </sheetViews>
  <sheetFormatPr baseColWidth="10" defaultColWidth="2.44140625" defaultRowHeight="18" customHeight="1" x14ac:dyDescent="0.25"/>
  <cols>
    <col min="1" max="34" width="3.5546875" style="233" customWidth="1"/>
    <col min="35" max="240" width="8.88671875" style="233" customWidth="1"/>
    <col min="241" max="249" width="2.44140625" style="233" customWidth="1"/>
    <col min="250" max="250" width="3" style="233" customWidth="1"/>
    <col min="251" max="251" width="5" style="233" customWidth="1"/>
    <col min="252" max="16384" width="2.44140625" style="233"/>
  </cols>
  <sheetData>
    <row r="1" spans="1:34" ht="18" customHeight="1" thickTop="1" thickBot="1" x14ac:dyDescent="0.3">
      <c r="A1" s="1507"/>
      <c r="B1" s="1508"/>
      <c r="C1" s="1508"/>
      <c r="D1" s="1508"/>
      <c r="E1" s="1508"/>
      <c r="F1" s="1508"/>
      <c r="G1" s="1508"/>
      <c r="H1" s="1509"/>
      <c r="I1" s="1489" t="s">
        <v>1976</v>
      </c>
      <c r="J1" s="1516"/>
      <c r="K1" s="1516"/>
      <c r="L1" s="1516"/>
      <c r="M1" s="1516"/>
      <c r="N1" s="1516"/>
      <c r="O1" s="1516"/>
      <c r="P1" s="1516"/>
      <c r="Q1" s="1516"/>
      <c r="R1" s="1516"/>
      <c r="S1" s="1516"/>
      <c r="T1" s="1516"/>
      <c r="U1" s="1516"/>
      <c r="V1" s="1516"/>
      <c r="W1" s="1516"/>
      <c r="X1" s="1516"/>
      <c r="Y1" s="1516"/>
      <c r="Z1" s="1516"/>
      <c r="AA1" s="1516"/>
      <c r="AB1" s="1516"/>
      <c r="AC1" s="1516"/>
      <c r="AD1" s="1516"/>
      <c r="AE1" s="1516"/>
      <c r="AF1" s="1516"/>
      <c r="AG1" s="1516"/>
      <c r="AH1" s="1517"/>
    </row>
    <row r="2" spans="1:34" ht="18" customHeight="1" thickTop="1" thickBot="1" x14ac:dyDescent="0.3">
      <c r="A2" s="1510"/>
      <c r="B2" s="1511"/>
      <c r="C2" s="1511"/>
      <c r="D2" s="1511"/>
      <c r="E2" s="1511"/>
      <c r="F2" s="1511"/>
      <c r="G2" s="1511"/>
      <c r="H2" s="1512"/>
      <c r="I2" s="1489"/>
      <c r="J2" s="1516"/>
      <c r="K2" s="1516"/>
      <c r="L2" s="1516"/>
      <c r="M2" s="1516"/>
      <c r="N2" s="1516"/>
      <c r="O2" s="1516"/>
      <c r="P2" s="1516"/>
      <c r="Q2" s="1516"/>
      <c r="R2" s="1516"/>
      <c r="S2" s="1516"/>
      <c r="T2" s="1516"/>
      <c r="U2" s="1516"/>
      <c r="V2" s="1516"/>
      <c r="W2" s="1516"/>
      <c r="X2" s="1516"/>
      <c r="Y2" s="1516"/>
      <c r="Z2" s="1516"/>
      <c r="AA2" s="1516"/>
      <c r="AB2" s="1516"/>
      <c r="AC2" s="1516"/>
      <c r="AD2" s="1516"/>
      <c r="AE2" s="1516"/>
      <c r="AF2" s="1516"/>
      <c r="AG2" s="1516"/>
      <c r="AH2" s="1517"/>
    </row>
    <row r="3" spans="1:34" ht="18" customHeight="1" thickTop="1" x14ac:dyDescent="0.25">
      <c r="A3" s="1510"/>
      <c r="B3" s="1511"/>
      <c r="C3" s="1511"/>
      <c r="D3" s="1511"/>
      <c r="E3" s="1511"/>
      <c r="F3" s="1511"/>
      <c r="G3" s="1511"/>
      <c r="H3" s="1512"/>
      <c r="I3" s="1442" t="s">
        <v>2004</v>
      </c>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4"/>
    </row>
    <row r="4" spans="1:34" ht="18" customHeight="1" thickBot="1" x14ac:dyDescent="0.3">
      <c r="A4" s="1510"/>
      <c r="B4" s="1511"/>
      <c r="C4" s="1511"/>
      <c r="D4" s="1511"/>
      <c r="E4" s="1511"/>
      <c r="F4" s="1511"/>
      <c r="G4" s="1511"/>
      <c r="H4" s="1512"/>
      <c r="I4" s="1445"/>
      <c r="J4" s="1446"/>
      <c r="K4" s="1446"/>
      <c r="L4" s="1446"/>
      <c r="M4" s="1446"/>
      <c r="N4" s="1446"/>
      <c r="O4" s="1446"/>
      <c r="P4" s="1446"/>
      <c r="Q4" s="1446"/>
      <c r="R4" s="1446"/>
      <c r="S4" s="1446"/>
      <c r="T4" s="1446"/>
      <c r="U4" s="1446"/>
      <c r="V4" s="1446"/>
      <c r="W4" s="1446"/>
      <c r="X4" s="1446"/>
      <c r="Y4" s="1446"/>
      <c r="Z4" s="1446"/>
      <c r="AA4" s="1446"/>
      <c r="AB4" s="1446"/>
      <c r="AC4" s="1446"/>
      <c r="AD4" s="1446"/>
      <c r="AE4" s="1446"/>
      <c r="AF4" s="1446"/>
      <c r="AG4" s="1446"/>
      <c r="AH4" s="1447"/>
    </row>
    <row r="5" spans="1:34" ht="18" customHeight="1" thickTop="1" x14ac:dyDescent="0.25">
      <c r="A5" s="1510"/>
      <c r="B5" s="1511"/>
      <c r="C5" s="1511"/>
      <c r="D5" s="1511"/>
      <c r="E5" s="1511"/>
      <c r="F5" s="1511"/>
      <c r="G5" s="1511"/>
      <c r="H5" s="1512"/>
      <c r="I5" s="1448" t="s">
        <v>416</v>
      </c>
      <c r="J5" s="1448"/>
      <c r="K5" s="1448"/>
      <c r="L5" s="1448"/>
      <c r="M5" s="1448"/>
      <c r="N5" s="1448"/>
      <c r="O5" s="1448"/>
      <c r="P5" s="1448"/>
      <c r="Q5" s="1448"/>
      <c r="R5" s="1448" t="s">
        <v>3</v>
      </c>
      <c r="S5" s="1448"/>
      <c r="T5" s="1448"/>
      <c r="U5" s="1448"/>
      <c r="V5" s="1448"/>
      <c r="W5" s="1448"/>
      <c r="X5" s="1448" t="s">
        <v>4</v>
      </c>
      <c r="Y5" s="1448"/>
      <c r="Z5" s="1448"/>
      <c r="AA5" s="1448"/>
      <c r="AB5" s="1448"/>
      <c r="AC5" s="1448" t="s">
        <v>5</v>
      </c>
      <c r="AD5" s="1449"/>
      <c r="AE5" s="1449"/>
      <c r="AF5" s="1449"/>
      <c r="AG5" s="1449"/>
      <c r="AH5" s="1449"/>
    </row>
    <row r="6" spans="1:34" ht="18" customHeight="1" thickBot="1" x14ac:dyDescent="0.3">
      <c r="A6" s="1513"/>
      <c r="B6" s="1514"/>
      <c r="C6" s="1514"/>
      <c r="D6" s="1514"/>
      <c r="E6" s="1514"/>
      <c r="F6" s="1514"/>
      <c r="G6" s="1514"/>
      <c r="H6" s="1515"/>
      <c r="I6" s="1490" t="s">
        <v>2007</v>
      </c>
      <c r="J6" s="1490"/>
      <c r="K6" s="1490"/>
      <c r="L6" s="1490"/>
      <c r="M6" s="1490"/>
      <c r="N6" s="1490"/>
      <c r="O6" s="1490"/>
      <c r="P6" s="1490"/>
      <c r="Q6" s="1490"/>
      <c r="R6" s="1450">
        <v>0</v>
      </c>
      <c r="S6" s="1450"/>
      <c r="T6" s="1450"/>
      <c r="U6" s="1450"/>
      <c r="V6" s="1450"/>
      <c r="W6" s="1450"/>
      <c r="X6" s="1518">
        <v>46007</v>
      </c>
      <c r="Y6" s="1518"/>
      <c r="Z6" s="1518"/>
      <c r="AA6" s="1518"/>
      <c r="AB6" s="1518"/>
      <c r="AC6" s="1494" t="s">
        <v>2046</v>
      </c>
      <c r="AD6" s="1450"/>
      <c r="AE6" s="1450"/>
      <c r="AF6" s="1450"/>
      <c r="AG6" s="1450"/>
      <c r="AH6" s="1450"/>
    </row>
    <row r="7" spans="1:34" ht="11.25" customHeight="1" thickTop="1" thickBot="1" x14ac:dyDescent="0.3">
      <c r="AC7" s="239"/>
      <c r="AD7" s="239"/>
      <c r="AE7" s="239"/>
      <c r="AF7" s="239"/>
      <c r="AG7" s="239"/>
      <c r="AH7" s="239"/>
    </row>
    <row r="8" spans="1:34" ht="18" customHeight="1" thickTop="1" x14ac:dyDescent="0.25">
      <c r="A8" s="1495" t="s">
        <v>2048</v>
      </c>
      <c r="B8" s="1496"/>
      <c r="C8" s="1496"/>
      <c r="D8" s="1496"/>
      <c r="E8" s="1496"/>
      <c r="F8" s="1496"/>
      <c r="G8" s="1496"/>
      <c r="H8" s="1496"/>
      <c r="I8" s="1496"/>
      <c r="J8" s="1496"/>
      <c r="K8" s="1496"/>
      <c r="L8" s="1496"/>
      <c r="M8" s="1496"/>
      <c r="N8" s="1496"/>
      <c r="O8" s="1496"/>
      <c r="P8" s="1496"/>
      <c r="Q8" s="1496"/>
      <c r="R8" s="1496"/>
      <c r="S8" s="1496"/>
      <c r="T8" s="1496"/>
      <c r="U8" s="1496"/>
      <c r="V8" s="1496"/>
      <c r="W8" s="1496"/>
      <c r="X8" s="1496"/>
      <c r="Y8" s="1496"/>
      <c r="Z8" s="1496"/>
      <c r="AA8" s="1496"/>
      <c r="AB8" s="1496"/>
      <c r="AC8" s="1496"/>
      <c r="AD8" s="1496"/>
      <c r="AE8" s="1496"/>
      <c r="AF8" s="1496"/>
      <c r="AG8" s="1496"/>
      <c r="AH8" s="1497"/>
    </row>
    <row r="9" spans="1:34" ht="18" customHeight="1" x14ac:dyDescent="0.25">
      <c r="A9" s="1498"/>
      <c r="B9" s="1499"/>
      <c r="C9" s="1499"/>
      <c r="D9" s="1499"/>
      <c r="E9" s="1499"/>
      <c r="F9" s="1499"/>
      <c r="G9" s="1499"/>
      <c r="H9" s="1499"/>
      <c r="I9" s="1499"/>
      <c r="J9" s="1499"/>
      <c r="K9" s="1499"/>
      <c r="L9" s="1499"/>
      <c r="M9" s="1499"/>
      <c r="N9" s="1499"/>
      <c r="O9" s="1499"/>
      <c r="P9" s="1499"/>
      <c r="Q9" s="1499"/>
      <c r="R9" s="1499"/>
      <c r="S9" s="1499"/>
      <c r="T9" s="1499"/>
      <c r="U9" s="1499"/>
      <c r="V9" s="1499"/>
      <c r="W9" s="1499"/>
      <c r="X9" s="1499"/>
      <c r="Y9" s="1499"/>
      <c r="Z9" s="1499"/>
      <c r="AA9" s="1499"/>
      <c r="AB9" s="1499"/>
      <c r="AC9" s="1499"/>
      <c r="AD9" s="1499"/>
      <c r="AE9" s="1499"/>
      <c r="AF9" s="1499"/>
      <c r="AG9" s="1499"/>
      <c r="AH9" s="1500"/>
    </row>
    <row r="10" spans="1:34" ht="18" customHeight="1" x14ac:dyDescent="0.25">
      <c r="A10" s="1498"/>
      <c r="B10" s="1499"/>
      <c r="C10" s="1499"/>
      <c r="D10" s="1499"/>
      <c r="E10" s="1499"/>
      <c r="F10" s="1499"/>
      <c r="G10" s="1499"/>
      <c r="H10" s="1499"/>
      <c r="I10" s="1499"/>
      <c r="J10" s="1499"/>
      <c r="K10" s="1499"/>
      <c r="L10" s="1499"/>
      <c r="M10" s="1499"/>
      <c r="N10" s="1499"/>
      <c r="O10" s="1499"/>
      <c r="P10" s="1499"/>
      <c r="Q10" s="1499"/>
      <c r="R10" s="1499"/>
      <c r="S10" s="1499"/>
      <c r="T10" s="1499"/>
      <c r="U10" s="1499"/>
      <c r="V10" s="1499"/>
      <c r="W10" s="1499"/>
      <c r="X10" s="1499"/>
      <c r="Y10" s="1499"/>
      <c r="Z10" s="1499"/>
      <c r="AA10" s="1499"/>
      <c r="AB10" s="1499"/>
      <c r="AC10" s="1499"/>
      <c r="AD10" s="1499"/>
      <c r="AE10" s="1499"/>
      <c r="AF10" s="1499"/>
      <c r="AG10" s="1499"/>
      <c r="AH10" s="1500"/>
    </row>
    <row r="11" spans="1:34" ht="18" customHeight="1" x14ac:dyDescent="0.25">
      <c r="A11" s="1498"/>
      <c r="B11" s="1499"/>
      <c r="C11" s="1499"/>
      <c r="D11" s="1499"/>
      <c r="E11" s="1499"/>
      <c r="F11" s="1499"/>
      <c r="G11" s="1499"/>
      <c r="H11" s="1499"/>
      <c r="I11" s="1499"/>
      <c r="J11" s="1499"/>
      <c r="K11" s="1499"/>
      <c r="L11" s="1499"/>
      <c r="M11" s="1499"/>
      <c r="N11" s="1499"/>
      <c r="O11" s="1499"/>
      <c r="P11" s="1499"/>
      <c r="Q11" s="1499"/>
      <c r="R11" s="1499"/>
      <c r="S11" s="1499"/>
      <c r="T11" s="1499"/>
      <c r="U11" s="1499"/>
      <c r="V11" s="1499"/>
      <c r="W11" s="1499"/>
      <c r="X11" s="1499"/>
      <c r="Y11" s="1499"/>
      <c r="Z11" s="1499"/>
      <c r="AA11" s="1499"/>
      <c r="AB11" s="1499"/>
      <c r="AC11" s="1499"/>
      <c r="AD11" s="1499"/>
      <c r="AE11" s="1499"/>
      <c r="AF11" s="1499"/>
      <c r="AG11" s="1499"/>
      <c r="AH11" s="1500"/>
    </row>
    <row r="12" spans="1:34" ht="18" customHeight="1" x14ac:dyDescent="0.25">
      <c r="A12" s="1498"/>
      <c r="B12" s="1499"/>
      <c r="C12" s="1499"/>
      <c r="D12" s="1499"/>
      <c r="E12" s="1499"/>
      <c r="F12" s="1499"/>
      <c r="G12" s="1499"/>
      <c r="H12" s="1499"/>
      <c r="I12" s="1499"/>
      <c r="J12" s="1499"/>
      <c r="K12" s="1499"/>
      <c r="L12" s="1499"/>
      <c r="M12" s="1499"/>
      <c r="N12" s="1499"/>
      <c r="O12" s="1499"/>
      <c r="P12" s="1499"/>
      <c r="Q12" s="1499"/>
      <c r="R12" s="1499"/>
      <c r="S12" s="1499"/>
      <c r="T12" s="1499"/>
      <c r="U12" s="1499"/>
      <c r="V12" s="1499"/>
      <c r="W12" s="1499"/>
      <c r="X12" s="1499"/>
      <c r="Y12" s="1499"/>
      <c r="Z12" s="1499"/>
      <c r="AA12" s="1499"/>
      <c r="AB12" s="1499"/>
      <c r="AC12" s="1499"/>
      <c r="AD12" s="1499"/>
      <c r="AE12" s="1499"/>
      <c r="AF12" s="1499"/>
      <c r="AG12" s="1499"/>
      <c r="AH12" s="1500"/>
    </row>
    <row r="13" spans="1:34" ht="18" customHeight="1" x14ac:dyDescent="0.25">
      <c r="A13" s="1498"/>
      <c r="B13" s="1499"/>
      <c r="C13" s="1499"/>
      <c r="D13" s="1499"/>
      <c r="E13" s="1499"/>
      <c r="F13" s="1499"/>
      <c r="G13" s="1499"/>
      <c r="H13" s="1499"/>
      <c r="I13" s="1499"/>
      <c r="J13" s="1499"/>
      <c r="K13" s="1499"/>
      <c r="L13" s="1499"/>
      <c r="M13" s="1499"/>
      <c r="N13" s="1499"/>
      <c r="O13" s="1499"/>
      <c r="P13" s="1499"/>
      <c r="Q13" s="1499"/>
      <c r="R13" s="1499"/>
      <c r="S13" s="1499"/>
      <c r="T13" s="1499"/>
      <c r="U13" s="1499"/>
      <c r="V13" s="1499"/>
      <c r="W13" s="1499"/>
      <c r="X13" s="1499"/>
      <c r="Y13" s="1499"/>
      <c r="Z13" s="1499"/>
      <c r="AA13" s="1499"/>
      <c r="AB13" s="1499"/>
      <c r="AC13" s="1499"/>
      <c r="AD13" s="1499"/>
      <c r="AE13" s="1499"/>
      <c r="AF13" s="1499"/>
      <c r="AG13" s="1499"/>
      <c r="AH13" s="1500"/>
    </row>
    <row r="14" spans="1:34" ht="18" customHeight="1" x14ac:dyDescent="0.25">
      <c r="A14" s="1498"/>
      <c r="B14" s="1499"/>
      <c r="C14" s="1499"/>
      <c r="D14" s="1499"/>
      <c r="E14" s="1499"/>
      <c r="F14" s="1499"/>
      <c r="G14" s="1499"/>
      <c r="H14" s="1499"/>
      <c r="I14" s="1499"/>
      <c r="J14" s="1499"/>
      <c r="K14" s="1499"/>
      <c r="L14" s="1499"/>
      <c r="M14" s="1499"/>
      <c r="N14" s="1499"/>
      <c r="O14" s="1499"/>
      <c r="P14" s="1499"/>
      <c r="Q14" s="1499"/>
      <c r="R14" s="1499"/>
      <c r="S14" s="1499"/>
      <c r="T14" s="1499"/>
      <c r="U14" s="1499"/>
      <c r="V14" s="1499"/>
      <c r="W14" s="1499"/>
      <c r="X14" s="1499"/>
      <c r="Y14" s="1499"/>
      <c r="Z14" s="1499"/>
      <c r="AA14" s="1499"/>
      <c r="AB14" s="1499"/>
      <c r="AC14" s="1499"/>
      <c r="AD14" s="1499"/>
      <c r="AE14" s="1499"/>
      <c r="AF14" s="1499"/>
      <c r="AG14" s="1499"/>
      <c r="AH14" s="1500"/>
    </row>
    <row r="15" spans="1:34" ht="18" customHeight="1" x14ac:dyDescent="0.25">
      <c r="A15" s="1498"/>
      <c r="B15" s="1499"/>
      <c r="C15" s="1499"/>
      <c r="D15" s="1499"/>
      <c r="E15" s="1499"/>
      <c r="F15" s="1499"/>
      <c r="G15" s="1499"/>
      <c r="H15" s="1499"/>
      <c r="I15" s="1499"/>
      <c r="J15" s="1499"/>
      <c r="K15" s="1499"/>
      <c r="L15" s="1499"/>
      <c r="M15" s="1499"/>
      <c r="N15" s="1499"/>
      <c r="O15" s="1499"/>
      <c r="P15" s="1499"/>
      <c r="Q15" s="1499"/>
      <c r="R15" s="1499"/>
      <c r="S15" s="1499"/>
      <c r="T15" s="1499"/>
      <c r="U15" s="1499"/>
      <c r="V15" s="1499"/>
      <c r="W15" s="1499"/>
      <c r="X15" s="1499"/>
      <c r="Y15" s="1499"/>
      <c r="Z15" s="1499"/>
      <c r="AA15" s="1499"/>
      <c r="AB15" s="1499"/>
      <c r="AC15" s="1499"/>
      <c r="AD15" s="1499"/>
      <c r="AE15" s="1499"/>
      <c r="AF15" s="1499"/>
      <c r="AG15" s="1499"/>
      <c r="AH15" s="1500"/>
    </row>
    <row r="16" spans="1:34" ht="18" customHeight="1" x14ac:dyDescent="0.25">
      <c r="A16" s="1498"/>
      <c r="B16" s="1499"/>
      <c r="C16" s="1499"/>
      <c r="D16" s="1499"/>
      <c r="E16" s="1499"/>
      <c r="F16" s="1499"/>
      <c r="G16" s="1499"/>
      <c r="H16" s="1499"/>
      <c r="I16" s="1499"/>
      <c r="J16" s="1499"/>
      <c r="K16" s="1499"/>
      <c r="L16" s="1499"/>
      <c r="M16" s="1499"/>
      <c r="N16" s="1499"/>
      <c r="O16" s="1499"/>
      <c r="P16" s="1499"/>
      <c r="Q16" s="1499"/>
      <c r="R16" s="1499"/>
      <c r="S16" s="1499"/>
      <c r="T16" s="1499"/>
      <c r="U16" s="1499"/>
      <c r="V16" s="1499"/>
      <c r="W16" s="1499"/>
      <c r="X16" s="1499"/>
      <c r="Y16" s="1499"/>
      <c r="Z16" s="1499"/>
      <c r="AA16" s="1499"/>
      <c r="AB16" s="1499"/>
      <c r="AC16" s="1499"/>
      <c r="AD16" s="1499"/>
      <c r="AE16" s="1499"/>
      <c r="AF16" s="1499"/>
      <c r="AG16" s="1499"/>
      <c r="AH16" s="1500"/>
    </row>
    <row r="17" spans="1:34" ht="18" customHeight="1" x14ac:dyDescent="0.25">
      <c r="A17" s="1498"/>
      <c r="B17" s="1499"/>
      <c r="C17" s="1499"/>
      <c r="D17" s="1499"/>
      <c r="E17" s="1499"/>
      <c r="F17" s="1499"/>
      <c r="G17" s="1499"/>
      <c r="H17" s="1499"/>
      <c r="I17" s="1499"/>
      <c r="J17" s="1499"/>
      <c r="K17" s="1499"/>
      <c r="L17" s="1499"/>
      <c r="M17" s="1499"/>
      <c r="N17" s="1499"/>
      <c r="O17" s="1499"/>
      <c r="P17" s="1499"/>
      <c r="Q17" s="1499"/>
      <c r="R17" s="1499"/>
      <c r="S17" s="1499"/>
      <c r="T17" s="1499"/>
      <c r="U17" s="1499"/>
      <c r="V17" s="1499"/>
      <c r="W17" s="1499"/>
      <c r="X17" s="1499"/>
      <c r="Y17" s="1499"/>
      <c r="Z17" s="1499"/>
      <c r="AA17" s="1499"/>
      <c r="AB17" s="1499"/>
      <c r="AC17" s="1499"/>
      <c r="AD17" s="1499"/>
      <c r="AE17" s="1499"/>
      <c r="AF17" s="1499"/>
      <c r="AG17" s="1499"/>
      <c r="AH17" s="1500"/>
    </row>
    <row r="18" spans="1:34" ht="18" customHeight="1" x14ac:dyDescent="0.25">
      <c r="A18" s="1498"/>
      <c r="B18" s="1499"/>
      <c r="C18" s="1499"/>
      <c r="D18" s="1499"/>
      <c r="E18" s="1499"/>
      <c r="F18" s="1499"/>
      <c r="G18" s="1499"/>
      <c r="H18" s="1499"/>
      <c r="I18" s="1499"/>
      <c r="J18" s="1499"/>
      <c r="K18" s="1499"/>
      <c r="L18" s="1499"/>
      <c r="M18" s="1499"/>
      <c r="N18" s="1499"/>
      <c r="O18" s="1499"/>
      <c r="P18" s="1499"/>
      <c r="Q18" s="1499"/>
      <c r="R18" s="1499"/>
      <c r="S18" s="1499"/>
      <c r="T18" s="1499"/>
      <c r="U18" s="1499"/>
      <c r="V18" s="1499"/>
      <c r="W18" s="1499"/>
      <c r="X18" s="1499"/>
      <c r="Y18" s="1499"/>
      <c r="Z18" s="1499"/>
      <c r="AA18" s="1499"/>
      <c r="AB18" s="1499"/>
      <c r="AC18" s="1499"/>
      <c r="AD18" s="1499"/>
      <c r="AE18" s="1499"/>
      <c r="AF18" s="1499"/>
      <c r="AG18" s="1499"/>
      <c r="AH18" s="1500"/>
    </row>
    <row r="19" spans="1:34" ht="18" customHeight="1" x14ac:dyDescent="0.25">
      <c r="A19" s="1498"/>
      <c r="B19" s="1499"/>
      <c r="C19" s="1499"/>
      <c r="D19" s="1499"/>
      <c r="E19" s="1499"/>
      <c r="F19" s="1499"/>
      <c r="G19" s="1499"/>
      <c r="H19" s="1499"/>
      <c r="I19" s="1499"/>
      <c r="J19" s="1499"/>
      <c r="K19" s="1499"/>
      <c r="L19" s="1499"/>
      <c r="M19" s="1499"/>
      <c r="N19" s="1499"/>
      <c r="O19" s="1499"/>
      <c r="P19" s="1499"/>
      <c r="Q19" s="1499"/>
      <c r="R19" s="1499"/>
      <c r="S19" s="1499"/>
      <c r="T19" s="1499"/>
      <c r="U19" s="1499"/>
      <c r="V19" s="1499"/>
      <c r="W19" s="1499"/>
      <c r="X19" s="1499"/>
      <c r="Y19" s="1499"/>
      <c r="Z19" s="1499"/>
      <c r="AA19" s="1499"/>
      <c r="AB19" s="1499"/>
      <c r="AC19" s="1499"/>
      <c r="AD19" s="1499"/>
      <c r="AE19" s="1499"/>
      <c r="AF19" s="1499"/>
      <c r="AG19" s="1499"/>
      <c r="AH19" s="1500"/>
    </row>
    <row r="20" spans="1:34" ht="18" customHeight="1" x14ac:dyDescent="0.25">
      <c r="A20" s="1498"/>
      <c r="B20" s="1499"/>
      <c r="C20" s="1499"/>
      <c r="D20" s="1499"/>
      <c r="E20" s="1499"/>
      <c r="F20" s="1499"/>
      <c r="G20" s="1499"/>
      <c r="H20" s="1499"/>
      <c r="I20" s="1499"/>
      <c r="J20" s="1499"/>
      <c r="K20" s="1499"/>
      <c r="L20" s="1499"/>
      <c r="M20" s="1499"/>
      <c r="N20" s="1499"/>
      <c r="O20" s="1499"/>
      <c r="P20" s="1499"/>
      <c r="Q20" s="1499"/>
      <c r="R20" s="1499"/>
      <c r="S20" s="1499"/>
      <c r="T20" s="1499"/>
      <c r="U20" s="1499"/>
      <c r="V20" s="1499"/>
      <c r="W20" s="1499"/>
      <c r="X20" s="1499"/>
      <c r="Y20" s="1499"/>
      <c r="Z20" s="1499"/>
      <c r="AA20" s="1499"/>
      <c r="AB20" s="1499"/>
      <c r="AC20" s="1499"/>
      <c r="AD20" s="1499"/>
      <c r="AE20" s="1499"/>
      <c r="AF20" s="1499"/>
      <c r="AG20" s="1499"/>
      <c r="AH20" s="1500"/>
    </row>
    <row r="21" spans="1:34" ht="18" customHeight="1" x14ac:dyDescent="0.25">
      <c r="A21" s="1498"/>
      <c r="B21" s="1499"/>
      <c r="C21" s="1499"/>
      <c r="D21" s="1499"/>
      <c r="E21" s="1499"/>
      <c r="F21" s="1499"/>
      <c r="G21" s="1499"/>
      <c r="H21" s="1499"/>
      <c r="I21" s="1499"/>
      <c r="J21" s="1499"/>
      <c r="K21" s="1499"/>
      <c r="L21" s="1499"/>
      <c r="M21" s="1499"/>
      <c r="N21" s="1499"/>
      <c r="O21" s="1499"/>
      <c r="P21" s="1499"/>
      <c r="Q21" s="1499"/>
      <c r="R21" s="1499"/>
      <c r="S21" s="1499"/>
      <c r="T21" s="1499"/>
      <c r="U21" s="1499"/>
      <c r="V21" s="1499"/>
      <c r="W21" s="1499"/>
      <c r="X21" s="1499"/>
      <c r="Y21" s="1499"/>
      <c r="Z21" s="1499"/>
      <c r="AA21" s="1499"/>
      <c r="AB21" s="1499"/>
      <c r="AC21" s="1499"/>
      <c r="AD21" s="1499"/>
      <c r="AE21" s="1499"/>
      <c r="AF21" s="1499"/>
      <c r="AG21" s="1499"/>
      <c r="AH21" s="1500"/>
    </row>
    <row r="22" spans="1:34" ht="18" customHeight="1" x14ac:dyDescent="0.25">
      <c r="A22" s="1498"/>
      <c r="B22" s="1499"/>
      <c r="C22" s="1499"/>
      <c r="D22" s="1499"/>
      <c r="E22" s="1499"/>
      <c r="F22" s="1499"/>
      <c r="G22" s="1499"/>
      <c r="H22" s="1499"/>
      <c r="I22" s="1499"/>
      <c r="J22" s="1499"/>
      <c r="K22" s="1499"/>
      <c r="L22" s="1499"/>
      <c r="M22" s="1499"/>
      <c r="N22" s="1499"/>
      <c r="O22" s="1499"/>
      <c r="P22" s="1499"/>
      <c r="Q22" s="1499"/>
      <c r="R22" s="1499"/>
      <c r="S22" s="1499"/>
      <c r="T22" s="1499"/>
      <c r="U22" s="1499"/>
      <c r="V22" s="1499"/>
      <c r="W22" s="1499"/>
      <c r="X22" s="1499"/>
      <c r="Y22" s="1499"/>
      <c r="Z22" s="1499"/>
      <c r="AA22" s="1499"/>
      <c r="AB22" s="1499"/>
      <c r="AC22" s="1499"/>
      <c r="AD22" s="1499"/>
      <c r="AE22" s="1499"/>
      <c r="AF22" s="1499"/>
      <c r="AG22" s="1499"/>
      <c r="AH22" s="1500"/>
    </row>
    <row r="23" spans="1:34" ht="18" customHeight="1" x14ac:dyDescent="0.25">
      <c r="A23" s="1498"/>
      <c r="B23" s="1499"/>
      <c r="C23" s="1499"/>
      <c r="D23" s="1499"/>
      <c r="E23" s="1499"/>
      <c r="F23" s="1499"/>
      <c r="G23" s="1499"/>
      <c r="H23" s="1499"/>
      <c r="I23" s="1499"/>
      <c r="J23" s="1499"/>
      <c r="K23" s="1499"/>
      <c r="L23" s="1499"/>
      <c r="M23" s="1499"/>
      <c r="N23" s="1499"/>
      <c r="O23" s="1499"/>
      <c r="P23" s="1499"/>
      <c r="Q23" s="1499"/>
      <c r="R23" s="1499"/>
      <c r="S23" s="1499"/>
      <c r="T23" s="1499"/>
      <c r="U23" s="1499"/>
      <c r="V23" s="1499"/>
      <c r="W23" s="1499"/>
      <c r="X23" s="1499"/>
      <c r="Y23" s="1499"/>
      <c r="Z23" s="1499"/>
      <c r="AA23" s="1499"/>
      <c r="AB23" s="1499"/>
      <c r="AC23" s="1499"/>
      <c r="AD23" s="1499"/>
      <c r="AE23" s="1499"/>
      <c r="AF23" s="1499"/>
      <c r="AG23" s="1499"/>
      <c r="AH23" s="1500"/>
    </row>
    <row r="24" spans="1:34" ht="18" customHeight="1" x14ac:dyDescent="0.25">
      <c r="A24" s="1498"/>
      <c r="B24" s="1499"/>
      <c r="C24" s="1499"/>
      <c r="D24" s="1499"/>
      <c r="E24" s="1499"/>
      <c r="F24" s="1499"/>
      <c r="G24" s="1499"/>
      <c r="H24" s="1499"/>
      <c r="I24" s="1499"/>
      <c r="J24" s="1499"/>
      <c r="K24" s="1499"/>
      <c r="L24" s="1499"/>
      <c r="M24" s="1499"/>
      <c r="N24" s="1499"/>
      <c r="O24" s="1499"/>
      <c r="P24" s="1499"/>
      <c r="Q24" s="1499"/>
      <c r="R24" s="1499"/>
      <c r="S24" s="1499"/>
      <c r="T24" s="1499"/>
      <c r="U24" s="1499"/>
      <c r="V24" s="1499"/>
      <c r="W24" s="1499"/>
      <c r="X24" s="1499"/>
      <c r="Y24" s="1499"/>
      <c r="Z24" s="1499"/>
      <c r="AA24" s="1499"/>
      <c r="AB24" s="1499"/>
      <c r="AC24" s="1499"/>
      <c r="AD24" s="1499"/>
      <c r="AE24" s="1499"/>
      <c r="AF24" s="1499"/>
      <c r="AG24" s="1499"/>
      <c r="AH24" s="1500"/>
    </row>
    <row r="25" spans="1:34" ht="18" customHeight="1" x14ac:dyDescent="0.25">
      <c r="A25" s="1498"/>
      <c r="B25" s="1499"/>
      <c r="C25" s="1499"/>
      <c r="D25" s="1499"/>
      <c r="E25" s="1499"/>
      <c r="F25" s="1499"/>
      <c r="G25" s="1499"/>
      <c r="H25" s="1499"/>
      <c r="I25" s="1499"/>
      <c r="J25" s="1499"/>
      <c r="K25" s="1499"/>
      <c r="L25" s="1499"/>
      <c r="M25" s="1499"/>
      <c r="N25" s="1499"/>
      <c r="O25" s="1499"/>
      <c r="P25" s="1499"/>
      <c r="Q25" s="1499"/>
      <c r="R25" s="1499"/>
      <c r="S25" s="1499"/>
      <c r="T25" s="1499"/>
      <c r="U25" s="1499"/>
      <c r="V25" s="1499"/>
      <c r="W25" s="1499"/>
      <c r="X25" s="1499"/>
      <c r="Y25" s="1499"/>
      <c r="Z25" s="1499"/>
      <c r="AA25" s="1499"/>
      <c r="AB25" s="1499"/>
      <c r="AC25" s="1499"/>
      <c r="AD25" s="1499"/>
      <c r="AE25" s="1499"/>
      <c r="AF25" s="1499"/>
      <c r="AG25" s="1499"/>
      <c r="AH25" s="1500"/>
    </row>
    <row r="26" spans="1:34" ht="18" customHeight="1" x14ac:dyDescent="0.25">
      <c r="A26" s="1498"/>
      <c r="B26" s="1499"/>
      <c r="C26" s="1499"/>
      <c r="D26" s="1499"/>
      <c r="E26" s="1499"/>
      <c r="F26" s="1499"/>
      <c r="G26" s="1499"/>
      <c r="H26" s="1499"/>
      <c r="I26" s="1499"/>
      <c r="J26" s="1499"/>
      <c r="K26" s="1499"/>
      <c r="L26" s="1499"/>
      <c r="M26" s="1499"/>
      <c r="N26" s="1499"/>
      <c r="O26" s="1499"/>
      <c r="P26" s="1499"/>
      <c r="Q26" s="1499"/>
      <c r="R26" s="1499"/>
      <c r="S26" s="1499"/>
      <c r="T26" s="1499"/>
      <c r="U26" s="1499"/>
      <c r="V26" s="1499"/>
      <c r="W26" s="1499"/>
      <c r="X26" s="1499"/>
      <c r="Y26" s="1499"/>
      <c r="Z26" s="1499"/>
      <c r="AA26" s="1499"/>
      <c r="AB26" s="1499"/>
      <c r="AC26" s="1499"/>
      <c r="AD26" s="1499"/>
      <c r="AE26" s="1499"/>
      <c r="AF26" s="1499"/>
      <c r="AG26" s="1499"/>
      <c r="AH26" s="1500"/>
    </row>
    <row r="27" spans="1:34" ht="18" customHeight="1" x14ac:dyDescent="0.25">
      <c r="A27" s="1498"/>
      <c r="B27" s="1499"/>
      <c r="C27" s="1499"/>
      <c r="D27" s="1499"/>
      <c r="E27" s="1499"/>
      <c r="F27" s="1499"/>
      <c r="G27" s="1499"/>
      <c r="H27" s="1499"/>
      <c r="I27" s="1499"/>
      <c r="J27" s="1499"/>
      <c r="K27" s="1499"/>
      <c r="L27" s="1499"/>
      <c r="M27" s="1499"/>
      <c r="N27" s="1499"/>
      <c r="O27" s="1499"/>
      <c r="P27" s="1499"/>
      <c r="Q27" s="1499"/>
      <c r="R27" s="1499"/>
      <c r="S27" s="1499"/>
      <c r="T27" s="1499"/>
      <c r="U27" s="1499"/>
      <c r="V27" s="1499"/>
      <c r="W27" s="1499"/>
      <c r="X27" s="1499"/>
      <c r="Y27" s="1499"/>
      <c r="Z27" s="1499"/>
      <c r="AA27" s="1499"/>
      <c r="AB27" s="1499"/>
      <c r="AC27" s="1499"/>
      <c r="AD27" s="1499"/>
      <c r="AE27" s="1499"/>
      <c r="AF27" s="1499"/>
      <c r="AG27" s="1499"/>
      <c r="AH27" s="1500"/>
    </row>
    <row r="28" spans="1:34" ht="18" customHeight="1" x14ac:dyDescent="0.25">
      <c r="A28" s="1498"/>
      <c r="B28" s="1499"/>
      <c r="C28" s="1499"/>
      <c r="D28" s="1499"/>
      <c r="E28" s="1499"/>
      <c r="F28" s="1499"/>
      <c r="G28" s="1499"/>
      <c r="H28" s="1499"/>
      <c r="I28" s="1499"/>
      <c r="J28" s="1499"/>
      <c r="K28" s="1499"/>
      <c r="L28" s="1499"/>
      <c r="M28" s="1499"/>
      <c r="N28" s="1499"/>
      <c r="O28" s="1499"/>
      <c r="P28" s="1499"/>
      <c r="Q28" s="1499"/>
      <c r="R28" s="1499"/>
      <c r="S28" s="1499"/>
      <c r="T28" s="1499"/>
      <c r="U28" s="1499"/>
      <c r="V28" s="1499"/>
      <c r="W28" s="1499"/>
      <c r="X28" s="1499"/>
      <c r="Y28" s="1499"/>
      <c r="Z28" s="1499"/>
      <c r="AA28" s="1499"/>
      <c r="AB28" s="1499"/>
      <c r="AC28" s="1499"/>
      <c r="AD28" s="1499"/>
      <c r="AE28" s="1499"/>
      <c r="AF28" s="1499"/>
      <c r="AG28" s="1499"/>
      <c r="AH28" s="1500"/>
    </row>
    <row r="29" spans="1:34" ht="18" customHeight="1" x14ac:dyDescent="0.25">
      <c r="A29" s="1498"/>
      <c r="B29" s="1499"/>
      <c r="C29" s="1499"/>
      <c r="D29" s="1499"/>
      <c r="E29" s="1499"/>
      <c r="F29" s="1499"/>
      <c r="G29" s="1499"/>
      <c r="H29" s="1499"/>
      <c r="I29" s="1499"/>
      <c r="J29" s="1499"/>
      <c r="K29" s="1499"/>
      <c r="L29" s="1499"/>
      <c r="M29" s="1499"/>
      <c r="N29" s="1499"/>
      <c r="O29" s="1499"/>
      <c r="P29" s="1499"/>
      <c r="Q29" s="1499"/>
      <c r="R29" s="1499"/>
      <c r="S29" s="1499"/>
      <c r="T29" s="1499"/>
      <c r="U29" s="1499"/>
      <c r="V29" s="1499"/>
      <c r="W29" s="1499"/>
      <c r="X29" s="1499"/>
      <c r="Y29" s="1499"/>
      <c r="Z29" s="1499"/>
      <c r="AA29" s="1499"/>
      <c r="AB29" s="1499"/>
      <c r="AC29" s="1499"/>
      <c r="AD29" s="1499"/>
      <c r="AE29" s="1499"/>
      <c r="AF29" s="1499"/>
      <c r="AG29" s="1499"/>
      <c r="AH29" s="1500"/>
    </row>
    <row r="30" spans="1:34" ht="18" customHeight="1" x14ac:dyDescent="0.25">
      <c r="A30" s="1498"/>
      <c r="B30" s="1499"/>
      <c r="C30" s="1499"/>
      <c r="D30" s="1499"/>
      <c r="E30" s="1499"/>
      <c r="F30" s="1499"/>
      <c r="G30" s="1499"/>
      <c r="H30" s="1499"/>
      <c r="I30" s="1499"/>
      <c r="J30" s="1499"/>
      <c r="K30" s="1499"/>
      <c r="L30" s="1499"/>
      <c r="M30" s="1499"/>
      <c r="N30" s="1499"/>
      <c r="O30" s="1499"/>
      <c r="P30" s="1499"/>
      <c r="Q30" s="1499"/>
      <c r="R30" s="1499"/>
      <c r="S30" s="1499"/>
      <c r="T30" s="1499"/>
      <c r="U30" s="1499"/>
      <c r="V30" s="1499"/>
      <c r="W30" s="1499"/>
      <c r="X30" s="1499"/>
      <c r="Y30" s="1499"/>
      <c r="Z30" s="1499"/>
      <c r="AA30" s="1499"/>
      <c r="AB30" s="1499"/>
      <c r="AC30" s="1499"/>
      <c r="AD30" s="1499"/>
      <c r="AE30" s="1499"/>
      <c r="AF30" s="1499"/>
      <c r="AG30" s="1499"/>
      <c r="AH30" s="1500"/>
    </row>
    <row r="31" spans="1:34" ht="18" customHeight="1" x14ac:dyDescent="0.25">
      <c r="A31" s="1498"/>
      <c r="B31" s="1499"/>
      <c r="C31" s="1499"/>
      <c r="D31" s="1499"/>
      <c r="E31" s="1499"/>
      <c r="F31" s="1499"/>
      <c r="G31" s="1499"/>
      <c r="H31" s="1499"/>
      <c r="I31" s="1499"/>
      <c r="J31" s="1499"/>
      <c r="K31" s="1499"/>
      <c r="L31" s="1499"/>
      <c r="M31" s="1499"/>
      <c r="N31" s="1499"/>
      <c r="O31" s="1499"/>
      <c r="P31" s="1499"/>
      <c r="Q31" s="1499"/>
      <c r="R31" s="1499"/>
      <c r="S31" s="1499"/>
      <c r="T31" s="1499"/>
      <c r="U31" s="1499"/>
      <c r="V31" s="1499"/>
      <c r="W31" s="1499"/>
      <c r="X31" s="1499"/>
      <c r="Y31" s="1499"/>
      <c r="Z31" s="1499"/>
      <c r="AA31" s="1499"/>
      <c r="AB31" s="1499"/>
      <c r="AC31" s="1499"/>
      <c r="AD31" s="1499"/>
      <c r="AE31" s="1499"/>
      <c r="AF31" s="1499"/>
      <c r="AG31" s="1499"/>
      <c r="AH31" s="1500"/>
    </row>
    <row r="32" spans="1:34" ht="18" customHeight="1" x14ac:dyDescent="0.25">
      <c r="A32" s="1498"/>
      <c r="B32" s="1499"/>
      <c r="C32" s="1499"/>
      <c r="D32" s="1499"/>
      <c r="E32" s="1499"/>
      <c r="F32" s="1499"/>
      <c r="G32" s="1499"/>
      <c r="H32" s="1499"/>
      <c r="I32" s="1499"/>
      <c r="J32" s="1499"/>
      <c r="K32" s="1499"/>
      <c r="L32" s="1499"/>
      <c r="M32" s="1499"/>
      <c r="N32" s="1499"/>
      <c r="O32" s="1499"/>
      <c r="P32" s="1499"/>
      <c r="Q32" s="1499"/>
      <c r="R32" s="1499"/>
      <c r="S32" s="1499"/>
      <c r="T32" s="1499"/>
      <c r="U32" s="1499"/>
      <c r="V32" s="1499"/>
      <c r="W32" s="1499"/>
      <c r="X32" s="1499"/>
      <c r="Y32" s="1499"/>
      <c r="Z32" s="1499"/>
      <c r="AA32" s="1499"/>
      <c r="AB32" s="1499"/>
      <c r="AC32" s="1499"/>
      <c r="AD32" s="1499"/>
      <c r="AE32" s="1499"/>
      <c r="AF32" s="1499"/>
      <c r="AG32" s="1499"/>
      <c r="AH32" s="1500"/>
    </row>
    <row r="33" spans="1:34" ht="18" customHeight="1" x14ac:dyDescent="0.25">
      <c r="A33" s="1498"/>
      <c r="B33" s="1499"/>
      <c r="C33" s="1499"/>
      <c r="D33" s="1499"/>
      <c r="E33" s="1499"/>
      <c r="F33" s="1499"/>
      <c r="G33" s="1499"/>
      <c r="H33" s="1499"/>
      <c r="I33" s="1499"/>
      <c r="J33" s="1499"/>
      <c r="K33" s="1499"/>
      <c r="L33" s="1499"/>
      <c r="M33" s="1499"/>
      <c r="N33" s="1499"/>
      <c r="O33" s="1499"/>
      <c r="P33" s="1499"/>
      <c r="Q33" s="1499"/>
      <c r="R33" s="1499"/>
      <c r="S33" s="1499"/>
      <c r="T33" s="1499"/>
      <c r="U33" s="1499"/>
      <c r="V33" s="1499"/>
      <c r="W33" s="1499"/>
      <c r="X33" s="1499"/>
      <c r="Y33" s="1499"/>
      <c r="Z33" s="1499"/>
      <c r="AA33" s="1499"/>
      <c r="AB33" s="1499"/>
      <c r="AC33" s="1499"/>
      <c r="AD33" s="1499"/>
      <c r="AE33" s="1499"/>
      <c r="AF33" s="1499"/>
      <c r="AG33" s="1499"/>
      <c r="AH33" s="1500"/>
    </row>
    <row r="34" spans="1:34" ht="18" customHeight="1" x14ac:dyDescent="0.25">
      <c r="A34" s="1498"/>
      <c r="B34" s="1499"/>
      <c r="C34" s="1499"/>
      <c r="D34" s="1499"/>
      <c r="E34" s="1499"/>
      <c r="F34" s="1499"/>
      <c r="G34" s="1499"/>
      <c r="H34" s="1499"/>
      <c r="I34" s="1499"/>
      <c r="J34" s="1499"/>
      <c r="K34" s="1499"/>
      <c r="L34" s="1499"/>
      <c r="M34" s="1499"/>
      <c r="N34" s="1499"/>
      <c r="O34" s="1499"/>
      <c r="P34" s="1499"/>
      <c r="Q34" s="1499"/>
      <c r="R34" s="1499"/>
      <c r="S34" s="1499"/>
      <c r="T34" s="1499"/>
      <c r="U34" s="1499"/>
      <c r="V34" s="1499"/>
      <c r="W34" s="1499"/>
      <c r="X34" s="1499"/>
      <c r="Y34" s="1499"/>
      <c r="Z34" s="1499"/>
      <c r="AA34" s="1499"/>
      <c r="AB34" s="1499"/>
      <c r="AC34" s="1499"/>
      <c r="AD34" s="1499"/>
      <c r="AE34" s="1499"/>
      <c r="AF34" s="1499"/>
      <c r="AG34" s="1499"/>
      <c r="AH34" s="1500"/>
    </row>
    <row r="35" spans="1:34" ht="18" customHeight="1" x14ac:dyDescent="0.25">
      <c r="A35" s="1498"/>
      <c r="B35" s="1499"/>
      <c r="C35" s="1499"/>
      <c r="D35" s="1499"/>
      <c r="E35" s="1499"/>
      <c r="F35" s="1499"/>
      <c r="G35" s="1499"/>
      <c r="H35" s="1499"/>
      <c r="I35" s="1499"/>
      <c r="J35" s="1499"/>
      <c r="K35" s="1499"/>
      <c r="L35" s="1499"/>
      <c r="M35" s="1499"/>
      <c r="N35" s="1499"/>
      <c r="O35" s="1499"/>
      <c r="P35" s="1499"/>
      <c r="Q35" s="1499"/>
      <c r="R35" s="1499"/>
      <c r="S35" s="1499"/>
      <c r="T35" s="1499"/>
      <c r="U35" s="1499"/>
      <c r="V35" s="1499"/>
      <c r="W35" s="1499"/>
      <c r="X35" s="1499"/>
      <c r="Y35" s="1499"/>
      <c r="Z35" s="1499"/>
      <c r="AA35" s="1499"/>
      <c r="AB35" s="1499"/>
      <c r="AC35" s="1499"/>
      <c r="AD35" s="1499"/>
      <c r="AE35" s="1499"/>
      <c r="AF35" s="1499"/>
      <c r="AG35" s="1499"/>
      <c r="AH35" s="1500"/>
    </row>
    <row r="36" spans="1:34" ht="18" customHeight="1" x14ac:dyDescent="0.25">
      <c r="A36" s="1498"/>
      <c r="B36" s="1499"/>
      <c r="C36" s="1499"/>
      <c r="D36" s="1499"/>
      <c r="E36" s="1499"/>
      <c r="F36" s="1499"/>
      <c r="G36" s="1499"/>
      <c r="H36" s="1499"/>
      <c r="I36" s="1499"/>
      <c r="J36" s="1499"/>
      <c r="K36" s="1499"/>
      <c r="L36" s="1499"/>
      <c r="M36" s="1499"/>
      <c r="N36" s="1499"/>
      <c r="O36" s="1499"/>
      <c r="P36" s="1499"/>
      <c r="Q36" s="1499"/>
      <c r="R36" s="1499"/>
      <c r="S36" s="1499"/>
      <c r="T36" s="1499"/>
      <c r="U36" s="1499"/>
      <c r="V36" s="1499"/>
      <c r="W36" s="1499"/>
      <c r="X36" s="1499"/>
      <c r="Y36" s="1499"/>
      <c r="Z36" s="1499"/>
      <c r="AA36" s="1499"/>
      <c r="AB36" s="1499"/>
      <c r="AC36" s="1499"/>
      <c r="AD36" s="1499"/>
      <c r="AE36" s="1499"/>
      <c r="AF36" s="1499"/>
      <c r="AG36" s="1499"/>
      <c r="AH36" s="1500"/>
    </row>
    <row r="37" spans="1:34" ht="18" customHeight="1" x14ac:dyDescent="0.25">
      <c r="A37" s="1498"/>
      <c r="B37" s="1499"/>
      <c r="C37" s="1499"/>
      <c r="D37" s="1499"/>
      <c r="E37" s="1499"/>
      <c r="F37" s="1499"/>
      <c r="G37" s="1499"/>
      <c r="H37" s="1499"/>
      <c r="I37" s="1499"/>
      <c r="J37" s="1499"/>
      <c r="K37" s="1499"/>
      <c r="L37" s="1499"/>
      <c r="M37" s="1499"/>
      <c r="N37" s="1499"/>
      <c r="O37" s="1499"/>
      <c r="P37" s="1499"/>
      <c r="Q37" s="1499"/>
      <c r="R37" s="1499"/>
      <c r="S37" s="1499"/>
      <c r="T37" s="1499"/>
      <c r="U37" s="1499"/>
      <c r="V37" s="1499"/>
      <c r="W37" s="1499"/>
      <c r="X37" s="1499"/>
      <c r="Y37" s="1499"/>
      <c r="Z37" s="1499"/>
      <c r="AA37" s="1499"/>
      <c r="AB37" s="1499"/>
      <c r="AC37" s="1499"/>
      <c r="AD37" s="1499"/>
      <c r="AE37" s="1499"/>
      <c r="AF37" s="1499"/>
      <c r="AG37" s="1499"/>
      <c r="AH37" s="1500"/>
    </row>
    <row r="38" spans="1:34" ht="18" customHeight="1" x14ac:dyDescent="0.25">
      <c r="A38" s="1498"/>
      <c r="B38" s="1499"/>
      <c r="C38" s="1499"/>
      <c r="D38" s="1499"/>
      <c r="E38" s="1499"/>
      <c r="F38" s="1499"/>
      <c r="G38" s="1499"/>
      <c r="H38" s="1499"/>
      <c r="I38" s="1499"/>
      <c r="J38" s="1499"/>
      <c r="K38" s="1499"/>
      <c r="L38" s="1499"/>
      <c r="M38" s="1499"/>
      <c r="N38" s="1499"/>
      <c r="O38" s="1499"/>
      <c r="P38" s="1499"/>
      <c r="Q38" s="1499"/>
      <c r="R38" s="1499"/>
      <c r="S38" s="1499"/>
      <c r="T38" s="1499"/>
      <c r="U38" s="1499"/>
      <c r="V38" s="1499"/>
      <c r="W38" s="1499"/>
      <c r="X38" s="1499"/>
      <c r="Y38" s="1499"/>
      <c r="Z38" s="1499"/>
      <c r="AA38" s="1499"/>
      <c r="AB38" s="1499"/>
      <c r="AC38" s="1499"/>
      <c r="AD38" s="1499"/>
      <c r="AE38" s="1499"/>
      <c r="AF38" s="1499"/>
      <c r="AG38" s="1499"/>
      <c r="AH38" s="1500"/>
    </row>
    <row r="39" spans="1:34" ht="18" customHeight="1" x14ac:dyDescent="0.25">
      <c r="A39" s="1498"/>
      <c r="B39" s="1499"/>
      <c r="C39" s="1499"/>
      <c r="D39" s="1499"/>
      <c r="E39" s="1499"/>
      <c r="F39" s="1499"/>
      <c r="G39" s="1499"/>
      <c r="H39" s="1499"/>
      <c r="I39" s="1499"/>
      <c r="J39" s="1499"/>
      <c r="K39" s="1499"/>
      <c r="L39" s="1499"/>
      <c r="M39" s="1499"/>
      <c r="N39" s="1499"/>
      <c r="O39" s="1499"/>
      <c r="P39" s="1499"/>
      <c r="Q39" s="1499"/>
      <c r="R39" s="1499"/>
      <c r="S39" s="1499"/>
      <c r="T39" s="1499"/>
      <c r="U39" s="1499"/>
      <c r="V39" s="1499"/>
      <c r="W39" s="1499"/>
      <c r="X39" s="1499"/>
      <c r="Y39" s="1499"/>
      <c r="Z39" s="1499"/>
      <c r="AA39" s="1499"/>
      <c r="AB39" s="1499"/>
      <c r="AC39" s="1499"/>
      <c r="AD39" s="1499"/>
      <c r="AE39" s="1499"/>
      <c r="AF39" s="1499"/>
      <c r="AG39" s="1499"/>
      <c r="AH39" s="1500"/>
    </row>
    <row r="40" spans="1:34" ht="18" customHeight="1" x14ac:dyDescent="0.25">
      <c r="A40" s="1498"/>
      <c r="B40" s="1499"/>
      <c r="C40" s="1499"/>
      <c r="D40" s="1499"/>
      <c r="E40" s="1499"/>
      <c r="F40" s="1499"/>
      <c r="G40" s="1499"/>
      <c r="H40" s="1499"/>
      <c r="I40" s="1499"/>
      <c r="J40" s="1499"/>
      <c r="K40" s="1499"/>
      <c r="L40" s="1499"/>
      <c r="M40" s="1499"/>
      <c r="N40" s="1499"/>
      <c r="O40" s="1499"/>
      <c r="P40" s="1499"/>
      <c r="Q40" s="1499"/>
      <c r="R40" s="1499"/>
      <c r="S40" s="1499"/>
      <c r="T40" s="1499"/>
      <c r="U40" s="1499"/>
      <c r="V40" s="1499"/>
      <c r="W40" s="1499"/>
      <c r="X40" s="1499"/>
      <c r="Y40" s="1499"/>
      <c r="Z40" s="1499"/>
      <c r="AA40" s="1499"/>
      <c r="AB40" s="1499"/>
      <c r="AC40" s="1499"/>
      <c r="AD40" s="1499"/>
      <c r="AE40" s="1499"/>
      <c r="AF40" s="1499"/>
      <c r="AG40" s="1499"/>
      <c r="AH40" s="1500"/>
    </row>
    <row r="41" spans="1:34" ht="18" customHeight="1" x14ac:dyDescent="0.25">
      <c r="A41" s="1498"/>
      <c r="B41" s="1499"/>
      <c r="C41" s="1499"/>
      <c r="D41" s="1499"/>
      <c r="E41" s="1499"/>
      <c r="F41" s="1499"/>
      <c r="G41" s="1499"/>
      <c r="H41" s="1499"/>
      <c r="I41" s="1499"/>
      <c r="J41" s="1499"/>
      <c r="K41" s="1499"/>
      <c r="L41" s="1499"/>
      <c r="M41" s="1499"/>
      <c r="N41" s="1499"/>
      <c r="O41" s="1499"/>
      <c r="P41" s="1499"/>
      <c r="Q41" s="1499"/>
      <c r="R41" s="1499"/>
      <c r="S41" s="1499"/>
      <c r="T41" s="1499"/>
      <c r="U41" s="1499"/>
      <c r="V41" s="1499"/>
      <c r="W41" s="1499"/>
      <c r="X41" s="1499"/>
      <c r="Y41" s="1499"/>
      <c r="Z41" s="1499"/>
      <c r="AA41" s="1499"/>
      <c r="AB41" s="1499"/>
      <c r="AC41" s="1499"/>
      <c r="AD41" s="1499"/>
      <c r="AE41" s="1499"/>
      <c r="AF41" s="1499"/>
      <c r="AG41" s="1499"/>
      <c r="AH41" s="1500"/>
    </row>
    <row r="42" spans="1:34" ht="18" customHeight="1" x14ac:dyDescent="0.25">
      <c r="A42" s="1498"/>
      <c r="B42" s="1499"/>
      <c r="C42" s="1499"/>
      <c r="D42" s="1499"/>
      <c r="E42" s="1499"/>
      <c r="F42" s="1499"/>
      <c r="G42" s="1499"/>
      <c r="H42" s="1499"/>
      <c r="I42" s="1499"/>
      <c r="J42" s="1499"/>
      <c r="K42" s="1499"/>
      <c r="L42" s="1499"/>
      <c r="M42" s="1499"/>
      <c r="N42" s="1499"/>
      <c r="O42" s="1499"/>
      <c r="P42" s="1499"/>
      <c r="Q42" s="1499"/>
      <c r="R42" s="1499"/>
      <c r="S42" s="1499"/>
      <c r="T42" s="1499"/>
      <c r="U42" s="1499"/>
      <c r="V42" s="1499"/>
      <c r="W42" s="1499"/>
      <c r="X42" s="1499"/>
      <c r="Y42" s="1499"/>
      <c r="Z42" s="1499"/>
      <c r="AA42" s="1499"/>
      <c r="AB42" s="1499"/>
      <c r="AC42" s="1499"/>
      <c r="AD42" s="1499"/>
      <c r="AE42" s="1499"/>
      <c r="AF42" s="1499"/>
      <c r="AG42" s="1499"/>
      <c r="AH42" s="1500"/>
    </row>
    <row r="43" spans="1:34" ht="18" customHeight="1" x14ac:dyDescent="0.25">
      <c r="A43" s="1498"/>
      <c r="B43" s="1499"/>
      <c r="C43" s="1499"/>
      <c r="D43" s="1499"/>
      <c r="E43" s="1499"/>
      <c r="F43" s="1499"/>
      <c r="G43" s="1499"/>
      <c r="H43" s="1499"/>
      <c r="I43" s="1499"/>
      <c r="J43" s="1499"/>
      <c r="K43" s="1499"/>
      <c r="L43" s="1499"/>
      <c r="M43" s="1499"/>
      <c r="N43" s="1499"/>
      <c r="O43" s="1499"/>
      <c r="P43" s="1499"/>
      <c r="Q43" s="1499"/>
      <c r="R43" s="1499"/>
      <c r="S43" s="1499"/>
      <c r="T43" s="1499"/>
      <c r="U43" s="1499"/>
      <c r="V43" s="1499"/>
      <c r="W43" s="1499"/>
      <c r="X43" s="1499"/>
      <c r="Y43" s="1499"/>
      <c r="Z43" s="1499"/>
      <c r="AA43" s="1499"/>
      <c r="AB43" s="1499"/>
      <c r="AC43" s="1499"/>
      <c r="AD43" s="1499"/>
      <c r="AE43" s="1499"/>
      <c r="AF43" s="1499"/>
      <c r="AG43" s="1499"/>
      <c r="AH43" s="1500"/>
    </row>
    <row r="44" spans="1:34" ht="18" customHeight="1" x14ac:dyDescent="0.25">
      <c r="A44" s="1498"/>
      <c r="B44" s="1499"/>
      <c r="C44" s="1499"/>
      <c r="D44" s="1499"/>
      <c r="E44" s="1499"/>
      <c r="F44" s="1499"/>
      <c r="G44" s="1499"/>
      <c r="H44" s="1499"/>
      <c r="I44" s="1499"/>
      <c r="J44" s="1499"/>
      <c r="K44" s="1499"/>
      <c r="L44" s="1499"/>
      <c r="M44" s="1499"/>
      <c r="N44" s="1499"/>
      <c r="O44" s="1499"/>
      <c r="P44" s="1499"/>
      <c r="Q44" s="1499"/>
      <c r="R44" s="1499"/>
      <c r="S44" s="1499"/>
      <c r="T44" s="1499"/>
      <c r="U44" s="1499"/>
      <c r="V44" s="1499"/>
      <c r="W44" s="1499"/>
      <c r="X44" s="1499"/>
      <c r="Y44" s="1499"/>
      <c r="Z44" s="1499"/>
      <c r="AA44" s="1499"/>
      <c r="AB44" s="1499"/>
      <c r="AC44" s="1499"/>
      <c r="AD44" s="1499"/>
      <c r="AE44" s="1499"/>
      <c r="AF44" s="1499"/>
      <c r="AG44" s="1499"/>
      <c r="AH44" s="1500"/>
    </row>
    <row r="45" spans="1:34" ht="18" customHeight="1" x14ac:dyDescent="0.25">
      <c r="A45" s="1498"/>
      <c r="B45" s="1499"/>
      <c r="C45" s="1499"/>
      <c r="D45" s="1499"/>
      <c r="E45" s="1499"/>
      <c r="F45" s="1499"/>
      <c r="G45" s="1499"/>
      <c r="H45" s="1499"/>
      <c r="I45" s="1499"/>
      <c r="J45" s="1499"/>
      <c r="K45" s="1499"/>
      <c r="L45" s="1499"/>
      <c r="M45" s="1499"/>
      <c r="N45" s="1499"/>
      <c r="O45" s="1499"/>
      <c r="P45" s="1499"/>
      <c r="Q45" s="1499"/>
      <c r="R45" s="1499"/>
      <c r="S45" s="1499"/>
      <c r="T45" s="1499"/>
      <c r="U45" s="1499"/>
      <c r="V45" s="1499"/>
      <c r="W45" s="1499"/>
      <c r="X45" s="1499"/>
      <c r="Y45" s="1499"/>
      <c r="Z45" s="1499"/>
      <c r="AA45" s="1499"/>
      <c r="AB45" s="1499"/>
      <c r="AC45" s="1499"/>
      <c r="AD45" s="1499"/>
      <c r="AE45" s="1499"/>
      <c r="AF45" s="1499"/>
      <c r="AG45" s="1499"/>
      <c r="AH45" s="1500"/>
    </row>
    <row r="46" spans="1:34" ht="18" customHeight="1" x14ac:dyDescent="0.25">
      <c r="A46" s="1498"/>
      <c r="B46" s="1499"/>
      <c r="C46" s="1499"/>
      <c r="D46" s="1499"/>
      <c r="E46" s="1499"/>
      <c r="F46" s="1499"/>
      <c r="G46" s="1499"/>
      <c r="H46" s="1499"/>
      <c r="I46" s="1499"/>
      <c r="J46" s="1499"/>
      <c r="K46" s="1499"/>
      <c r="L46" s="1499"/>
      <c r="M46" s="1499"/>
      <c r="N46" s="1499"/>
      <c r="O46" s="1499"/>
      <c r="P46" s="1499"/>
      <c r="Q46" s="1499"/>
      <c r="R46" s="1499"/>
      <c r="S46" s="1499"/>
      <c r="T46" s="1499"/>
      <c r="U46" s="1499"/>
      <c r="V46" s="1499"/>
      <c r="W46" s="1499"/>
      <c r="X46" s="1499"/>
      <c r="Y46" s="1499"/>
      <c r="Z46" s="1499"/>
      <c r="AA46" s="1499"/>
      <c r="AB46" s="1499"/>
      <c r="AC46" s="1499"/>
      <c r="AD46" s="1499"/>
      <c r="AE46" s="1499"/>
      <c r="AF46" s="1499"/>
      <c r="AG46" s="1499"/>
      <c r="AH46" s="1500"/>
    </row>
    <row r="47" spans="1:34" ht="18" customHeight="1" x14ac:dyDescent="0.25">
      <c r="A47" s="1498"/>
      <c r="B47" s="1499"/>
      <c r="C47" s="1499"/>
      <c r="D47" s="1499"/>
      <c r="E47" s="1499"/>
      <c r="F47" s="1499"/>
      <c r="G47" s="1499"/>
      <c r="H47" s="1499"/>
      <c r="I47" s="1499"/>
      <c r="J47" s="1499"/>
      <c r="K47" s="1499"/>
      <c r="L47" s="1499"/>
      <c r="M47" s="1499"/>
      <c r="N47" s="1499"/>
      <c r="O47" s="1499"/>
      <c r="P47" s="1499"/>
      <c r="Q47" s="1499"/>
      <c r="R47" s="1499"/>
      <c r="S47" s="1499"/>
      <c r="T47" s="1499"/>
      <c r="U47" s="1499"/>
      <c r="V47" s="1499"/>
      <c r="W47" s="1499"/>
      <c r="X47" s="1499"/>
      <c r="Y47" s="1499"/>
      <c r="Z47" s="1499"/>
      <c r="AA47" s="1499"/>
      <c r="AB47" s="1499"/>
      <c r="AC47" s="1499"/>
      <c r="AD47" s="1499"/>
      <c r="AE47" s="1499"/>
      <c r="AF47" s="1499"/>
      <c r="AG47" s="1499"/>
      <c r="AH47" s="1500"/>
    </row>
    <row r="48" spans="1:34" ht="18" customHeight="1" x14ac:dyDescent="0.25">
      <c r="A48" s="1498"/>
      <c r="B48" s="1499"/>
      <c r="C48" s="1499"/>
      <c r="D48" s="1499"/>
      <c r="E48" s="1499"/>
      <c r="F48" s="1499"/>
      <c r="G48" s="1499"/>
      <c r="H48" s="1499"/>
      <c r="I48" s="1499"/>
      <c r="J48" s="1499"/>
      <c r="K48" s="1499"/>
      <c r="L48" s="1499"/>
      <c r="M48" s="1499"/>
      <c r="N48" s="1499"/>
      <c r="O48" s="1499"/>
      <c r="P48" s="1499"/>
      <c r="Q48" s="1499"/>
      <c r="R48" s="1499"/>
      <c r="S48" s="1499"/>
      <c r="T48" s="1499"/>
      <c r="U48" s="1499"/>
      <c r="V48" s="1499"/>
      <c r="W48" s="1499"/>
      <c r="X48" s="1499"/>
      <c r="Y48" s="1499"/>
      <c r="Z48" s="1499"/>
      <c r="AA48" s="1499"/>
      <c r="AB48" s="1499"/>
      <c r="AC48" s="1499"/>
      <c r="AD48" s="1499"/>
      <c r="AE48" s="1499"/>
      <c r="AF48" s="1499"/>
      <c r="AG48" s="1499"/>
      <c r="AH48" s="1500"/>
    </row>
    <row r="49" spans="1:34" ht="18" customHeight="1" x14ac:dyDescent="0.25">
      <c r="A49" s="1498"/>
      <c r="B49" s="1499"/>
      <c r="C49" s="1499"/>
      <c r="D49" s="1499"/>
      <c r="E49" s="1499"/>
      <c r="F49" s="1499"/>
      <c r="G49" s="1499"/>
      <c r="H49" s="1499"/>
      <c r="I49" s="1499"/>
      <c r="J49" s="1499"/>
      <c r="K49" s="1499"/>
      <c r="L49" s="1499"/>
      <c r="M49" s="1499"/>
      <c r="N49" s="1499"/>
      <c r="O49" s="1499"/>
      <c r="P49" s="1499"/>
      <c r="Q49" s="1499"/>
      <c r="R49" s="1499"/>
      <c r="S49" s="1499"/>
      <c r="T49" s="1499"/>
      <c r="U49" s="1499"/>
      <c r="V49" s="1499"/>
      <c r="W49" s="1499"/>
      <c r="X49" s="1499"/>
      <c r="Y49" s="1499"/>
      <c r="Z49" s="1499"/>
      <c r="AA49" s="1499"/>
      <c r="AB49" s="1499"/>
      <c r="AC49" s="1499"/>
      <c r="AD49" s="1499"/>
      <c r="AE49" s="1499"/>
      <c r="AF49" s="1499"/>
      <c r="AG49" s="1499"/>
      <c r="AH49" s="1500"/>
    </row>
    <row r="50" spans="1:34" ht="18" customHeight="1" x14ac:dyDescent="0.25">
      <c r="A50" s="1498"/>
      <c r="B50" s="1499"/>
      <c r="C50" s="1499"/>
      <c r="D50" s="1499"/>
      <c r="E50" s="1499"/>
      <c r="F50" s="1499"/>
      <c r="G50" s="1499"/>
      <c r="H50" s="1499"/>
      <c r="I50" s="1499"/>
      <c r="J50" s="1499"/>
      <c r="K50" s="1499"/>
      <c r="L50" s="1499"/>
      <c r="M50" s="1499"/>
      <c r="N50" s="1499"/>
      <c r="O50" s="1499"/>
      <c r="P50" s="1499"/>
      <c r="Q50" s="1499"/>
      <c r="R50" s="1499"/>
      <c r="S50" s="1499"/>
      <c r="T50" s="1499"/>
      <c r="U50" s="1499"/>
      <c r="V50" s="1499"/>
      <c r="W50" s="1499"/>
      <c r="X50" s="1499"/>
      <c r="Y50" s="1499"/>
      <c r="Z50" s="1499"/>
      <c r="AA50" s="1499"/>
      <c r="AB50" s="1499"/>
      <c r="AC50" s="1499"/>
      <c r="AD50" s="1499"/>
      <c r="AE50" s="1499"/>
      <c r="AF50" s="1499"/>
      <c r="AG50" s="1499"/>
      <c r="AH50" s="1500"/>
    </row>
    <row r="51" spans="1:34" ht="16.95" customHeight="1" x14ac:dyDescent="0.25">
      <c r="A51" s="1498"/>
      <c r="B51" s="1499"/>
      <c r="C51" s="1499"/>
      <c r="D51" s="1499"/>
      <c r="E51" s="1499"/>
      <c r="F51" s="1499"/>
      <c r="G51" s="1499"/>
      <c r="H51" s="1499"/>
      <c r="I51" s="1499"/>
      <c r="J51" s="1499"/>
      <c r="K51" s="1499"/>
      <c r="L51" s="1499"/>
      <c r="M51" s="1499"/>
      <c r="N51" s="1499"/>
      <c r="O51" s="1499"/>
      <c r="P51" s="1499"/>
      <c r="Q51" s="1499"/>
      <c r="R51" s="1499"/>
      <c r="S51" s="1499"/>
      <c r="T51" s="1499"/>
      <c r="U51" s="1499"/>
      <c r="V51" s="1499"/>
      <c r="W51" s="1499"/>
      <c r="X51" s="1499"/>
      <c r="Y51" s="1499"/>
      <c r="Z51" s="1499"/>
      <c r="AA51" s="1499"/>
      <c r="AB51" s="1499"/>
      <c r="AC51" s="1499"/>
      <c r="AD51" s="1499"/>
      <c r="AE51" s="1499"/>
      <c r="AF51" s="1499"/>
      <c r="AG51" s="1499"/>
      <c r="AH51" s="1500"/>
    </row>
    <row r="52" spans="1:34" ht="22.05" customHeight="1" thickBot="1" x14ac:dyDescent="0.3">
      <c r="A52" s="1501"/>
      <c r="B52" s="1502"/>
      <c r="C52" s="1502"/>
      <c r="D52" s="1502"/>
      <c r="E52" s="1502"/>
      <c r="F52" s="1502"/>
      <c r="G52" s="1502"/>
      <c r="H52" s="1502"/>
      <c r="I52" s="1502"/>
      <c r="J52" s="1502"/>
      <c r="K52" s="1502"/>
      <c r="L52" s="1502"/>
      <c r="M52" s="1502"/>
      <c r="N52" s="1502"/>
      <c r="O52" s="1502"/>
      <c r="P52" s="1502"/>
      <c r="Q52" s="1502"/>
      <c r="R52" s="1502"/>
      <c r="S52" s="1502"/>
      <c r="T52" s="1502"/>
      <c r="U52" s="1502"/>
      <c r="V52" s="1502"/>
      <c r="W52" s="1502"/>
      <c r="X52" s="1502"/>
      <c r="Y52" s="1502"/>
      <c r="Z52" s="1502"/>
      <c r="AA52" s="1502"/>
      <c r="AB52" s="1502"/>
      <c r="AC52" s="1502"/>
      <c r="AD52" s="1502"/>
      <c r="AE52" s="1502"/>
      <c r="AF52" s="1502"/>
      <c r="AG52" s="1502"/>
      <c r="AH52" s="1503"/>
    </row>
    <row r="53" spans="1:34" ht="18" customHeight="1" thickTop="1" x14ac:dyDescent="0.25">
      <c r="A53" s="1504"/>
      <c r="B53" s="1504"/>
      <c r="C53" s="1504"/>
      <c r="D53" s="1504"/>
      <c r="E53" s="1504"/>
      <c r="F53" s="1504"/>
      <c r="G53" s="1504"/>
      <c r="H53" s="1504"/>
      <c r="I53" s="1504"/>
      <c r="J53" s="1504"/>
      <c r="K53" s="1504"/>
      <c r="L53" s="1504"/>
      <c r="M53" s="1504"/>
      <c r="N53" s="1504"/>
      <c r="O53" s="1504"/>
      <c r="P53" s="1504"/>
      <c r="Q53" s="1504"/>
      <c r="R53" s="1504"/>
      <c r="S53" s="1504"/>
      <c r="T53" s="1504"/>
      <c r="U53" s="1504"/>
      <c r="V53" s="1504"/>
      <c r="W53" s="1504"/>
      <c r="X53" s="1504"/>
      <c r="Y53" s="1504"/>
      <c r="Z53" s="1504"/>
      <c r="AA53" s="1504"/>
      <c r="AB53" s="1504"/>
      <c r="AC53" s="1504"/>
      <c r="AD53" s="1504"/>
      <c r="AE53" s="1504"/>
      <c r="AF53" s="1504"/>
      <c r="AG53" s="1504"/>
      <c r="AH53" s="1504"/>
    </row>
    <row r="54" spans="1:34" ht="18" customHeight="1" x14ac:dyDescent="0.25">
      <c r="A54" s="1504"/>
      <c r="B54" s="1504"/>
      <c r="C54" s="1504"/>
      <c r="D54" s="1504"/>
      <c r="E54" s="1504"/>
      <c r="F54" s="1504"/>
      <c r="G54" s="1504"/>
      <c r="H54" s="1504"/>
      <c r="I54" s="1504"/>
      <c r="J54" s="1504"/>
      <c r="K54" s="1504"/>
      <c r="L54" s="1504"/>
      <c r="M54" s="1504"/>
      <c r="N54" s="1504"/>
      <c r="O54" s="1504"/>
      <c r="P54" s="1504"/>
      <c r="Q54" s="1504"/>
      <c r="R54" s="1504"/>
      <c r="S54" s="1504"/>
      <c r="T54" s="1504"/>
      <c r="U54" s="1504"/>
      <c r="V54" s="1504"/>
      <c r="W54" s="1504"/>
      <c r="X54" s="1504"/>
      <c r="Y54" s="1504"/>
      <c r="Z54" s="1504"/>
      <c r="AA54" s="1504"/>
      <c r="AB54" s="1504"/>
      <c r="AC54" s="1504"/>
      <c r="AD54" s="1504"/>
      <c r="AE54" s="1504"/>
      <c r="AF54" s="1504"/>
      <c r="AG54" s="1504"/>
      <c r="AH54" s="1504"/>
    </row>
    <row r="55" spans="1:34" ht="18" customHeight="1" x14ac:dyDescent="0.25">
      <c r="A55" s="1504"/>
      <c r="B55" s="1504"/>
      <c r="C55" s="1504"/>
      <c r="D55" s="1504"/>
      <c r="E55" s="1504"/>
      <c r="F55" s="1504"/>
      <c r="G55" s="1504"/>
      <c r="H55" s="1504"/>
      <c r="I55" s="1504"/>
      <c r="J55" s="1504"/>
      <c r="K55" s="1504"/>
      <c r="L55" s="1504"/>
      <c r="M55" s="1504"/>
      <c r="N55" s="1504"/>
      <c r="O55" s="1504"/>
      <c r="P55" s="1504"/>
      <c r="Q55" s="1504"/>
      <c r="R55" s="1504"/>
      <c r="S55" s="1504"/>
      <c r="T55" s="1504"/>
      <c r="U55" s="1504"/>
      <c r="V55" s="1504"/>
      <c r="W55" s="1504"/>
      <c r="X55" s="1504"/>
      <c r="Y55" s="1504"/>
      <c r="Z55" s="1504"/>
      <c r="AA55" s="1504"/>
      <c r="AB55" s="1504"/>
      <c r="AC55" s="1504"/>
      <c r="AD55" s="1504"/>
      <c r="AE55" s="1504"/>
      <c r="AF55" s="1504"/>
      <c r="AG55" s="1504"/>
      <c r="AH55" s="1504"/>
    </row>
    <row r="56" spans="1:34" ht="18" customHeight="1" x14ac:dyDescent="0.25">
      <c r="A56" s="241"/>
      <c r="B56" s="236"/>
      <c r="C56" s="236"/>
      <c r="D56" s="236"/>
      <c r="E56" s="236"/>
      <c r="F56" s="236"/>
      <c r="G56" s="236"/>
      <c r="H56" s="236"/>
      <c r="I56" s="236"/>
      <c r="J56" s="236"/>
      <c r="K56" s="236"/>
      <c r="L56" s="236"/>
      <c r="M56" s="236"/>
      <c r="N56" s="236"/>
      <c r="O56" s="236"/>
      <c r="P56" s="236"/>
      <c r="Q56" s="236"/>
      <c r="R56" s="236"/>
      <c r="S56" s="236"/>
      <c r="T56" s="236"/>
      <c r="U56" s="236"/>
      <c r="V56" s="236"/>
      <c r="W56" s="236"/>
      <c r="X56" s="236"/>
      <c r="Y56" s="236"/>
      <c r="Z56" s="236"/>
      <c r="AA56" s="236"/>
      <c r="AB56" s="236"/>
      <c r="AC56" s="236"/>
      <c r="AD56" s="236"/>
      <c r="AE56" s="236"/>
      <c r="AF56" s="236"/>
      <c r="AG56" s="236"/>
      <c r="AH56" s="241"/>
    </row>
    <row r="57" spans="1:34" ht="18" customHeight="1" x14ac:dyDescent="0.25">
      <c r="A57" s="241"/>
      <c r="B57" s="241"/>
      <c r="C57" s="241"/>
      <c r="D57" s="241"/>
      <c r="E57" s="241"/>
      <c r="F57" s="241"/>
      <c r="G57" s="241"/>
      <c r="H57" s="241"/>
      <c r="I57" s="241"/>
      <c r="J57" s="241"/>
      <c r="K57" s="241"/>
      <c r="L57" s="241"/>
      <c r="M57" s="241"/>
      <c r="N57" s="241"/>
      <c r="O57" s="241"/>
      <c r="P57" s="241"/>
      <c r="Q57" s="241"/>
      <c r="R57" s="241"/>
      <c r="S57" s="241"/>
      <c r="T57" s="241"/>
      <c r="U57" s="241"/>
      <c r="V57" s="241"/>
      <c r="W57" s="241"/>
      <c r="X57" s="241"/>
      <c r="Y57" s="241"/>
      <c r="Z57" s="241"/>
      <c r="AA57" s="241"/>
      <c r="AB57" s="241"/>
      <c r="AC57" s="241"/>
      <c r="AD57" s="241"/>
      <c r="AE57" s="241"/>
      <c r="AF57" s="241"/>
      <c r="AG57" s="241"/>
      <c r="AH57" s="241"/>
    </row>
    <row r="58" spans="1:34" ht="18" customHeight="1" x14ac:dyDescent="0.25">
      <c r="A58" s="241"/>
      <c r="B58" s="1505"/>
      <c r="C58" s="1506"/>
      <c r="D58" s="1506"/>
      <c r="E58" s="1506"/>
      <c r="F58" s="1506"/>
      <c r="G58" s="1506"/>
      <c r="H58" s="1506"/>
      <c r="I58" s="1506"/>
      <c r="J58" s="1506"/>
      <c r="K58" s="1506"/>
      <c r="L58" s="1506"/>
      <c r="M58" s="1506"/>
      <c r="N58" s="1506"/>
      <c r="O58" s="1506"/>
      <c r="P58" s="1506"/>
      <c r="Q58" s="1506"/>
      <c r="R58" s="1506"/>
      <c r="S58" s="1506"/>
      <c r="T58" s="1506"/>
      <c r="U58" s="1506"/>
      <c r="V58" s="1506"/>
      <c r="W58" s="1506"/>
      <c r="X58" s="1506"/>
      <c r="Y58" s="1506"/>
      <c r="Z58" s="1506"/>
      <c r="AA58" s="1506"/>
      <c r="AB58" s="1506"/>
      <c r="AC58" s="1506"/>
      <c r="AD58" s="1506"/>
      <c r="AE58" s="1506"/>
      <c r="AF58" s="1506"/>
      <c r="AG58" s="1506"/>
      <c r="AH58" s="241"/>
    </row>
    <row r="59" spans="1:34" ht="18" customHeight="1" x14ac:dyDescent="0.25">
      <c r="A59" s="241"/>
      <c r="B59" s="1506"/>
      <c r="C59" s="1506"/>
      <c r="D59" s="1506"/>
      <c r="E59" s="1506"/>
      <c r="F59" s="1506"/>
      <c r="G59" s="1506"/>
      <c r="H59" s="1506"/>
      <c r="I59" s="1506"/>
      <c r="J59" s="1506"/>
      <c r="K59" s="1506"/>
      <c r="L59" s="1506"/>
      <c r="M59" s="1506"/>
      <c r="N59" s="1506"/>
      <c r="O59" s="1506"/>
      <c r="P59" s="1506"/>
      <c r="Q59" s="1506"/>
      <c r="R59" s="1506"/>
      <c r="S59" s="1506"/>
      <c r="T59" s="1506"/>
      <c r="U59" s="1506"/>
      <c r="V59" s="1506"/>
      <c r="W59" s="1506"/>
      <c r="X59" s="1506"/>
      <c r="Y59" s="1506"/>
      <c r="Z59" s="1506"/>
      <c r="AA59" s="1506"/>
      <c r="AB59" s="1506"/>
      <c r="AC59" s="1506"/>
      <c r="AD59" s="1506"/>
      <c r="AE59" s="1506"/>
      <c r="AF59" s="1506"/>
      <c r="AG59" s="1506"/>
      <c r="AH59" s="241"/>
    </row>
  </sheetData>
  <mergeCells count="14">
    <mergeCell ref="AC6:AH6"/>
    <mergeCell ref="A8:AH52"/>
    <mergeCell ref="A53:AH55"/>
    <mergeCell ref="B58:AG59"/>
    <mergeCell ref="A1:H6"/>
    <mergeCell ref="I1:AH2"/>
    <mergeCell ref="I3:AH4"/>
    <mergeCell ref="I5:Q5"/>
    <mergeCell ref="R5:W5"/>
    <mergeCell ref="X5:AB5"/>
    <mergeCell ref="AC5:AH5"/>
    <mergeCell ref="I6:Q6"/>
    <mergeCell ref="R6:W6"/>
    <mergeCell ref="X6:AB6"/>
  </mergeCells>
  <printOptions horizontalCentered="1"/>
  <pageMargins left="0.78740157480314965" right="0.78740157480314965" top="0.78740157480314965" bottom="0.78740157480314965" header="1.7322834645669292" footer="0.51181102362204722"/>
  <pageSetup scale="74" fitToHeight="0" orientation="portrait" r:id="rId1"/>
  <headerFooter>
    <oddFooter>&amp;L&amp;8DNC-02208-ELE-MC-000001</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7D14A-4D04-4F54-9EC5-2542DA1EA585}">
  <sheetPr>
    <pageSetUpPr fitToPage="1"/>
  </sheetPr>
  <dimension ref="A1:AH45"/>
  <sheetViews>
    <sheetView view="pageBreakPreview" zoomScale="130" zoomScaleNormal="100" zoomScaleSheetLayoutView="130" zoomScalePageLayoutView="70" workbookViewId="0">
      <selection activeCell="I39" sqref="I39:AB39"/>
    </sheetView>
  </sheetViews>
  <sheetFormatPr baseColWidth="10" defaultColWidth="2.44140625" defaultRowHeight="13.2" x14ac:dyDescent="0.25"/>
  <cols>
    <col min="1" max="34" width="3.5546875" style="233" customWidth="1"/>
    <col min="35" max="240" width="8.88671875" style="233" customWidth="1"/>
    <col min="241" max="249" width="2.44140625" style="233" customWidth="1"/>
    <col min="250" max="250" width="3" style="233" customWidth="1"/>
    <col min="251" max="251" width="5" style="233" customWidth="1"/>
    <col min="252" max="16384" width="2.44140625" style="233"/>
  </cols>
  <sheetData>
    <row r="1" spans="1:34" ht="18" customHeight="1" thickTop="1" thickBot="1" x14ac:dyDescent="0.3">
      <c r="A1" s="1430"/>
      <c r="B1" s="1431"/>
      <c r="C1" s="1431"/>
      <c r="D1" s="1431"/>
      <c r="E1" s="1431"/>
      <c r="F1" s="1431"/>
      <c r="G1" s="1431"/>
      <c r="H1" s="1432"/>
      <c r="I1" s="1489" t="s">
        <v>1976</v>
      </c>
      <c r="J1" s="1440"/>
      <c r="K1" s="1440"/>
      <c r="L1" s="1440"/>
      <c r="M1" s="1440"/>
      <c r="N1" s="1440"/>
      <c r="O1" s="1440"/>
      <c r="P1" s="1440"/>
      <c r="Q1" s="1440"/>
      <c r="R1" s="1440"/>
      <c r="S1" s="1440"/>
      <c r="T1" s="1440"/>
      <c r="U1" s="1440"/>
      <c r="V1" s="1440"/>
      <c r="W1" s="1440"/>
      <c r="X1" s="1440"/>
      <c r="Y1" s="1440"/>
      <c r="Z1" s="1440"/>
      <c r="AA1" s="1440"/>
      <c r="AB1" s="1440"/>
      <c r="AC1" s="1440"/>
      <c r="AD1" s="1440"/>
      <c r="AE1" s="1440"/>
      <c r="AF1" s="1440"/>
      <c r="AG1" s="1440"/>
      <c r="AH1" s="1441"/>
    </row>
    <row r="2" spans="1:34" ht="18" customHeight="1" thickTop="1" thickBot="1" x14ac:dyDescent="0.3">
      <c r="A2" s="1433"/>
      <c r="B2" s="1434"/>
      <c r="C2" s="1434"/>
      <c r="D2" s="1434"/>
      <c r="E2" s="1434"/>
      <c r="F2" s="1434"/>
      <c r="G2" s="1434"/>
      <c r="H2" s="1435"/>
      <c r="I2" s="1439"/>
      <c r="J2" s="1440"/>
      <c r="K2" s="1440"/>
      <c r="L2" s="1440"/>
      <c r="M2" s="1440"/>
      <c r="N2" s="1440"/>
      <c r="O2" s="1440"/>
      <c r="P2" s="1440"/>
      <c r="Q2" s="1440"/>
      <c r="R2" s="1440"/>
      <c r="S2" s="1440"/>
      <c r="T2" s="1440"/>
      <c r="U2" s="1440"/>
      <c r="V2" s="1440"/>
      <c r="W2" s="1440"/>
      <c r="X2" s="1440"/>
      <c r="Y2" s="1440"/>
      <c r="Z2" s="1440"/>
      <c r="AA2" s="1440"/>
      <c r="AB2" s="1440"/>
      <c r="AC2" s="1440"/>
      <c r="AD2" s="1440"/>
      <c r="AE2" s="1440"/>
      <c r="AF2" s="1440"/>
      <c r="AG2" s="1440"/>
      <c r="AH2" s="1441"/>
    </row>
    <row r="3" spans="1:34" ht="18" customHeight="1" thickTop="1" x14ac:dyDescent="0.25">
      <c r="A3" s="1433"/>
      <c r="B3" s="1434"/>
      <c r="C3" s="1434"/>
      <c r="D3" s="1434"/>
      <c r="E3" s="1434"/>
      <c r="F3" s="1434"/>
      <c r="G3" s="1434"/>
      <c r="H3" s="1435"/>
      <c r="I3" s="1442" t="str">
        <f>'[10]PORTADA '!I3</f>
        <v>Contrato No. 3037739 ODS-039: “INGENIERÍA BÁSICA DESARROLLO INTEGRAL DINA T - PALOGRANDE”</v>
      </c>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4"/>
    </row>
    <row r="4" spans="1:34" ht="18" customHeight="1" thickBot="1" x14ac:dyDescent="0.3">
      <c r="A4" s="1433"/>
      <c r="B4" s="1434"/>
      <c r="C4" s="1434"/>
      <c r="D4" s="1434"/>
      <c r="E4" s="1434"/>
      <c r="F4" s="1434"/>
      <c r="G4" s="1434"/>
      <c r="H4" s="1435"/>
      <c r="I4" s="1445"/>
      <c r="J4" s="1446"/>
      <c r="K4" s="1446"/>
      <c r="L4" s="1446"/>
      <c r="M4" s="1446"/>
      <c r="N4" s="1446"/>
      <c r="O4" s="1446"/>
      <c r="P4" s="1446"/>
      <c r="Q4" s="1446"/>
      <c r="R4" s="1446"/>
      <c r="S4" s="1446"/>
      <c r="T4" s="1446"/>
      <c r="U4" s="1446"/>
      <c r="V4" s="1446"/>
      <c r="W4" s="1446"/>
      <c r="X4" s="1446"/>
      <c r="Y4" s="1446"/>
      <c r="Z4" s="1446"/>
      <c r="AA4" s="1446"/>
      <c r="AB4" s="1446"/>
      <c r="AC4" s="1446"/>
      <c r="AD4" s="1446"/>
      <c r="AE4" s="1446"/>
      <c r="AF4" s="1446"/>
      <c r="AG4" s="1446"/>
      <c r="AH4" s="1447"/>
    </row>
    <row r="5" spans="1:34" ht="18" customHeight="1" thickTop="1" x14ac:dyDescent="0.25">
      <c r="A5" s="1433"/>
      <c r="B5" s="1434"/>
      <c r="C5" s="1434"/>
      <c r="D5" s="1434"/>
      <c r="E5" s="1434"/>
      <c r="F5" s="1434"/>
      <c r="G5" s="1434"/>
      <c r="H5" s="1435"/>
      <c r="I5" s="1448" t="s">
        <v>2</v>
      </c>
      <c r="J5" s="1448"/>
      <c r="K5" s="1448"/>
      <c r="L5" s="1448"/>
      <c r="M5" s="1448"/>
      <c r="N5" s="1448"/>
      <c r="O5" s="1448"/>
      <c r="P5" s="1448"/>
      <c r="Q5" s="1448"/>
      <c r="R5" s="1448" t="s">
        <v>3</v>
      </c>
      <c r="S5" s="1448"/>
      <c r="T5" s="1448"/>
      <c r="U5" s="1448"/>
      <c r="V5" s="1448"/>
      <c r="W5" s="1430"/>
      <c r="X5" s="1430" t="s">
        <v>4</v>
      </c>
      <c r="Y5" s="1431"/>
      <c r="Z5" s="1431"/>
      <c r="AA5" s="1431"/>
      <c r="AB5" s="1432"/>
      <c r="AC5" s="1432" t="s">
        <v>5</v>
      </c>
      <c r="AD5" s="1449"/>
      <c r="AE5" s="1449"/>
      <c r="AF5" s="1449"/>
      <c r="AG5" s="1449"/>
      <c r="AH5" s="1449"/>
    </row>
    <row r="6" spans="1:34" ht="18" customHeight="1" thickBot="1" x14ac:dyDescent="0.3">
      <c r="A6" s="1436"/>
      <c r="B6" s="1437"/>
      <c r="C6" s="1437"/>
      <c r="D6" s="1437"/>
      <c r="E6" s="1437"/>
      <c r="F6" s="1437"/>
      <c r="G6" s="1437"/>
      <c r="H6" s="1438"/>
      <c r="I6" s="1490" t="s">
        <v>2007</v>
      </c>
      <c r="J6" s="1450"/>
      <c r="K6" s="1450"/>
      <c r="L6" s="1450"/>
      <c r="M6" s="1450"/>
      <c r="N6" s="1450"/>
      <c r="O6" s="1450"/>
      <c r="P6" s="1450"/>
      <c r="Q6" s="1450"/>
      <c r="R6" s="1450">
        <f>'PORTADA '!R6</f>
        <v>0</v>
      </c>
      <c r="S6" s="1450"/>
      <c r="T6" s="1450"/>
      <c r="U6" s="1450"/>
      <c r="V6" s="1450"/>
      <c r="W6" s="1436"/>
      <c r="X6" s="1491">
        <f>'PORTADA '!X6</f>
        <v>46007</v>
      </c>
      <c r="Y6" s="1492"/>
      <c r="Z6" s="1492"/>
      <c r="AA6" s="1492"/>
      <c r="AB6" s="1493"/>
      <c r="AC6" s="1453" t="s">
        <v>2047</v>
      </c>
      <c r="AD6" s="1450"/>
      <c r="AE6" s="1450"/>
      <c r="AF6" s="1450"/>
      <c r="AG6" s="1450"/>
      <c r="AH6" s="1450"/>
    </row>
    <row r="7" spans="1:34" ht="18" customHeight="1" thickTop="1" x14ac:dyDescent="0.25"/>
    <row r="8" spans="1:34" ht="18" customHeight="1" x14ac:dyDescent="0.25">
      <c r="AC8" s="239"/>
      <c r="AD8" s="239"/>
      <c r="AE8" s="239"/>
      <c r="AF8" s="239"/>
      <c r="AG8" s="239"/>
      <c r="AH8" s="239"/>
    </row>
    <row r="9" spans="1:34" ht="18" customHeight="1" x14ac:dyDescent="0.25"/>
    <row r="10" spans="1:34" ht="18" customHeight="1" x14ac:dyDescent="0.25"/>
    <row r="11" spans="1:34" ht="18" customHeight="1" x14ac:dyDescent="0.25">
      <c r="A11" s="237"/>
      <c r="B11" s="237"/>
      <c r="C11" s="237"/>
      <c r="D11" s="237"/>
      <c r="E11" s="237"/>
      <c r="F11" s="237"/>
      <c r="G11" s="234"/>
      <c r="H11" s="234"/>
      <c r="I11" s="234"/>
      <c r="J11" s="234"/>
      <c r="K11" s="234"/>
      <c r="L11" s="234"/>
      <c r="M11" s="234"/>
      <c r="N11" s="234"/>
      <c r="O11" s="234"/>
      <c r="P11" s="234"/>
      <c r="Q11" s="234"/>
      <c r="R11" s="234"/>
      <c r="S11" s="234"/>
      <c r="T11" s="234"/>
      <c r="U11" s="234"/>
      <c r="V11" s="234"/>
      <c r="W11" s="234"/>
      <c r="X11" s="234"/>
      <c r="Y11" s="234"/>
      <c r="Z11" s="237"/>
      <c r="AA11" s="237"/>
      <c r="AB11" s="237"/>
      <c r="AC11" s="237"/>
      <c r="AD11" s="237"/>
      <c r="AE11" s="237"/>
      <c r="AF11" s="238"/>
      <c r="AG11" s="238"/>
      <c r="AH11" s="238"/>
    </row>
    <row r="12" spans="1:34" ht="18" customHeight="1" x14ac:dyDescent="0.25">
      <c r="A12" s="234"/>
      <c r="B12" s="234"/>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7"/>
    </row>
    <row r="13" spans="1:34" ht="18" customHeight="1" x14ac:dyDescent="0.25">
      <c r="A13" s="234"/>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7"/>
    </row>
    <row r="14" spans="1:34" ht="18" customHeight="1" x14ac:dyDescent="0.25">
      <c r="A14" s="234"/>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7"/>
    </row>
    <row r="15" spans="1:34" ht="18" customHeight="1" x14ac:dyDescent="0.25">
      <c r="A15" s="234"/>
      <c r="B15" s="234"/>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7"/>
    </row>
    <row r="16" spans="1:34" ht="18" customHeight="1" x14ac:dyDescent="0.25">
      <c r="A16" s="235"/>
      <c r="B16" s="235"/>
      <c r="C16" s="235"/>
      <c r="D16" s="235"/>
      <c r="E16" s="235"/>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row>
    <row r="17" spans="1:34" ht="18" customHeight="1" x14ac:dyDescent="0.25">
      <c r="A17" s="235"/>
      <c r="B17" s="235"/>
      <c r="C17" s="235"/>
      <c r="D17" s="235"/>
      <c r="E17" s="235"/>
      <c r="F17" s="236"/>
      <c r="G17" s="236"/>
      <c r="H17" s="236"/>
      <c r="I17" s="236"/>
      <c r="J17" s="236"/>
      <c r="K17" s="236"/>
      <c r="L17" s="236"/>
      <c r="M17" s="236"/>
      <c r="N17" s="236"/>
      <c r="O17" s="236"/>
      <c r="P17" s="236"/>
      <c r="Q17" s="236"/>
      <c r="R17" s="236"/>
      <c r="S17" s="236"/>
      <c r="T17" s="236"/>
      <c r="U17" s="236"/>
      <c r="V17" s="236"/>
      <c r="W17" s="236"/>
      <c r="X17" s="236"/>
      <c r="Y17" s="236"/>
      <c r="Z17" s="236"/>
      <c r="AA17" s="236"/>
      <c r="AB17" s="236"/>
      <c r="AC17" s="236"/>
      <c r="AD17" s="236"/>
      <c r="AE17" s="236"/>
      <c r="AF17" s="236"/>
      <c r="AG17" s="236"/>
      <c r="AH17" s="236"/>
    </row>
    <row r="18" spans="1:34" ht="18" customHeight="1" x14ac:dyDescent="0.25">
      <c r="A18" s="235"/>
      <c r="B18" s="235"/>
      <c r="C18" s="235"/>
      <c r="D18" s="235"/>
      <c r="E18" s="235"/>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row>
    <row r="19" spans="1:34" ht="18" customHeight="1" x14ac:dyDescent="0.25">
      <c r="A19" s="235"/>
      <c r="B19" s="235"/>
      <c r="C19" s="235"/>
      <c r="D19" s="235"/>
      <c r="E19" s="235"/>
      <c r="F19" s="236"/>
      <c r="G19" s="236"/>
      <c r="H19" s="236"/>
      <c r="I19" s="236"/>
      <c r="J19" s="236"/>
      <c r="K19" s="236"/>
      <c r="L19" s="236"/>
      <c r="M19" s="236"/>
      <c r="N19" s="236"/>
      <c r="O19" s="236"/>
      <c r="P19" s="236"/>
      <c r="Q19" s="236"/>
      <c r="R19" s="236"/>
      <c r="S19" s="236"/>
      <c r="T19" s="236"/>
      <c r="U19" s="236"/>
      <c r="V19" s="236"/>
      <c r="W19" s="236"/>
      <c r="X19" s="236"/>
      <c r="Y19" s="236"/>
      <c r="Z19" s="236"/>
      <c r="AA19" s="236"/>
      <c r="AB19" s="236"/>
      <c r="AC19" s="236"/>
      <c r="AD19" s="236"/>
      <c r="AE19" s="236"/>
      <c r="AF19" s="236"/>
      <c r="AG19" s="236"/>
      <c r="AH19" s="236"/>
    </row>
    <row r="20" spans="1:34" ht="18" customHeight="1" x14ac:dyDescent="0.25">
      <c r="A20" s="235"/>
      <c r="B20" s="235"/>
      <c r="C20" s="235"/>
      <c r="D20" s="235"/>
      <c r="E20" s="235"/>
      <c r="F20" s="236"/>
      <c r="G20" s="236"/>
      <c r="H20" s="236"/>
      <c r="I20" s="236"/>
      <c r="J20" s="236"/>
      <c r="K20" s="236"/>
      <c r="L20" s="236"/>
      <c r="M20" s="236"/>
      <c r="N20" s="236"/>
      <c r="O20" s="236"/>
      <c r="P20" s="236"/>
      <c r="Q20" s="236"/>
      <c r="R20" s="236"/>
      <c r="S20" s="236"/>
      <c r="T20" s="236"/>
      <c r="U20" s="236"/>
      <c r="V20" s="236"/>
      <c r="W20" s="236"/>
      <c r="X20" s="236"/>
      <c r="Y20" s="236"/>
      <c r="Z20" s="236"/>
      <c r="AA20" s="236"/>
      <c r="AB20" s="236"/>
      <c r="AC20" s="236"/>
      <c r="AD20" s="236"/>
      <c r="AE20" s="236"/>
      <c r="AF20" s="236"/>
      <c r="AG20" s="236"/>
      <c r="AH20" s="236"/>
    </row>
    <row r="21" spans="1:34" ht="18" customHeight="1" x14ac:dyDescent="0.25">
      <c r="A21" s="235"/>
      <c r="B21" s="235"/>
      <c r="C21" s="235"/>
      <c r="D21" s="235"/>
      <c r="E21" s="235"/>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row>
    <row r="22" spans="1:34" ht="18" customHeight="1" x14ac:dyDescent="0.25">
      <c r="A22" s="235"/>
      <c r="B22" s="235"/>
      <c r="C22" s="235"/>
      <c r="D22" s="235"/>
      <c r="E22" s="235"/>
      <c r="F22" s="236"/>
      <c r="G22" s="236"/>
      <c r="H22" s="236"/>
      <c r="I22" s="236"/>
      <c r="J22" s="236"/>
      <c r="K22" s="236"/>
      <c r="L22" s="236"/>
      <c r="M22" s="236"/>
      <c r="N22" s="236"/>
      <c r="O22" s="236"/>
      <c r="P22" s="236"/>
      <c r="Q22" s="236"/>
      <c r="R22" s="236"/>
      <c r="S22" s="236"/>
      <c r="T22" s="236"/>
      <c r="U22" s="236"/>
      <c r="V22" s="236"/>
      <c r="W22" s="236"/>
      <c r="X22" s="236"/>
      <c r="Y22" s="236"/>
      <c r="Z22" s="236"/>
      <c r="AA22" s="236"/>
      <c r="AB22" s="236"/>
      <c r="AC22" s="236"/>
      <c r="AD22" s="236"/>
      <c r="AE22" s="236"/>
      <c r="AF22" s="236"/>
      <c r="AG22" s="236"/>
      <c r="AH22" s="236"/>
    </row>
    <row r="23" spans="1:34" ht="18" customHeight="1" x14ac:dyDescent="0.25">
      <c r="A23" s="235"/>
      <c r="B23" s="235"/>
      <c r="C23" s="235"/>
      <c r="D23" s="235"/>
      <c r="E23" s="235"/>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row>
    <row r="24" spans="1:34" ht="18" customHeight="1" x14ac:dyDescent="0.25">
      <c r="A24" s="235"/>
      <c r="B24" s="235"/>
      <c r="C24" s="235"/>
      <c r="D24" s="235"/>
      <c r="E24" s="235"/>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row>
    <row r="25" spans="1:34" ht="18" customHeight="1" x14ac:dyDescent="0.25">
      <c r="A25" s="235"/>
      <c r="B25" s="235"/>
      <c r="C25" s="235"/>
      <c r="D25" s="235"/>
      <c r="E25" s="235"/>
      <c r="F25" s="240"/>
      <c r="G25" s="240"/>
      <c r="H25" s="240"/>
      <c r="I25" s="240"/>
      <c r="J25" s="240"/>
      <c r="K25" s="240"/>
      <c r="L25" s="240"/>
      <c r="M25" s="240"/>
      <c r="N25" s="240"/>
      <c r="O25" s="240"/>
      <c r="P25" s="240"/>
      <c r="Q25" s="240"/>
      <c r="R25" s="240"/>
      <c r="S25" s="240"/>
      <c r="T25" s="240"/>
      <c r="U25" s="240"/>
      <c r="V25" s="240"/>
      <c r="W25" s="240"/>
      <c r="X25" s="240"/>
      <c r="Y25" s="240"/>
      <c r="Z25" s="240"/>
      <c r="AA25" s="240"/>
      <c r="AB25" s="240"/>
      <c r="AC25" s="240"/>
      <c r="AD25" s="240"/>
      <c r="AE25" s="240"/>
      <c r="AF25" s="240"/>
      <c r="AG25" s="240"/>
      <c r="AH25" s="236"/>
    </row>
    <row r="26" spans="1:34" ht="18" customHeight="1" x14ac:dyDescent="0.25">
      <c r="A26" s="235"/>
      <c r="B26" s="235"/>
      <c r="C26" s="235"/>
      <c r="D26" s="235"/>
      <c r="E26" s="235"/>
      <c r="F26" s="240"/>
      <c r="G26" s="240"/>
      <c r="H26" s="240"/>
      <c r="I26" s="240"/>
      <c r="J26" s="240"/>
      <c r="K26" s="240"/>
      <c r="L26" s="240"/>
      <c r="M26" s="240"/>
      <c r="N26" s="240"/>
      <c r="O26" s="240"/>
      <c r="P26" s="240"/>
      <c r="Q26" s="240"/>
      <c r="R26" s="240"/>
      <c r="S26" s="240"/>
      <c r="T26" s="240"/>
      <c r="U26" s="240"/>
      <c r="V26" s="240"/>
      <c r="W26" s="240"/>
      <c r="X26" s="240"/>
      <c r="Y26" s="240"/>
      <c r="Z26" s="240"/>
      <c r="AA26" s="240"/>
      <c r="AB26" s="240"/>
      <c r="AC26" s="240"/>
      <c r="AD26" s="240"/>
      <c r="AE26" s="240"/>
      <c r="AF26" s="240"/>
      <c r="AG26" s="240"/>
      <c r="AH26" s="236"/>
    </row>
    <row r="27" spans="1:34" ht="18" customHeight="1" x14ac:dyDescent="0.25">
      <c r="A27" s="1519" t="s">
        <v>418</v>
      </c>
      <c r="B27" s="1519"/>
      <c r="C27" s="1519"/>
      <c r="D27" s="1519"/>
      <c r="E27" s="1519"/>
      <c r="F27" s="1519"/>
      <c r="G27" s="1519"/>
      <c r="H27" s="1519"/>
      <c r="I27" s="1519"/>
      <c r="J27" s="1519"/>
      <c r="K27" s="1519"/>
      <c r="L27" s="1519"/>
      <c r="M27" s="1519"/>
      <c r="N27" s="1520"/>
      <c r="O27" s="1520"/>
      <c r="P27" s="1520"/>
      <c r="Q27" s="1520"/>
      <c r="R27" s="1520"/>
      <c r="S27" s="1520"/>
      <c r="T27" s="1520"/>
      <c r="U27" s="1520"/>
      <c r="V27" s="1520"/>
      <c r="W27" s="1520"/>
      <c r="X27" s="1520"/>
      <c r="Y27" s="1520"/>
      <c r="Z27" s="1520"/>
      <c r="AA27" s="1520"/>
      <c r="AB27" s="1520"/>
      <c r="AC27" s="1520"/>
      <c r="AD27" s="1520"/>
      <c r="AE27" s="1520"/>
      <c r="AF27" s="1520"/>
      <c r="AG27" s="1520"/>
      <c r="AH27" s="1520"/>
    </row>
    <row r="28" spans="1:34" ht="28.5" customHeight="1" x14ac:dyDescent="0.25">
      <c r="A28" s="1521"/>
      <c r="B28" s="1522"/>
      <c r="C28" s="1522"/>
      <c r="D28" s="1522"/>
      <c r="E28" s="1522" t="s">
        <v>419</v>
      </c>
      <c r="F28" s="1522"/>
      <c r="G28" s="1522"/>
      <c r="H28" s="1522"/>
      <c r="I28" s="1522"/>
      <c r="J28" s="1522"/>
      <c r="K28" s="1522"/>
      <c r="L28" s="1522"/>
      <c r="M28" s="1523"/>
      <c r="N28" s="1523" t="s">
        <v>420</v>
      </c>
      <c r="O28" s="1524"/>
      <c r="P28" s="1524"/>
      <c r="Q28" s="1524"/>
      <c r="R28" s="1524"/>
      <c r="S28" s="1524"/>
      <c r="T28" s="1524"/>
      <c r="U28" s="1524" t="s">
        <v>421</v>
      </c>
      <c r="V28" s="1524"/>
      <c r="W28" s="1524"/>
      <c r="X28" s="1524"/>
      <c r="Y28" s="1524"/>
      <c r="Z28" s="1524"/>
      <c r="AA28" s="1524"/>
      <c r="AB28" s="1524"/>
      <c r="AC28" s="1524"/>
      <c r="AD28" s="1524" t="s">
        <v>422</v>
      </c>
      <c r="AE28" s="1524"/>
      <c r="AF28" s="1524"/>
      <c r="AG28" s="1524"/>
      <c r="AH28" s="1524"/>
    </row>
    <row r="29" spans="1:34" ht="42.75" customHeight="1" x14ac:dyDescent="0.25">
      <c r="A29" s="1528" t="s">
        <v>423</v>
      </c>
      <c r="B29" s="1528"/>
      <c r="C29" s="1528"/>
      <c r="D29" s="1528"/>
      <c r="E29" s="1529" t="s">
        <v>2008</v>
      </c>
      <c r="F29" s="1529"/>
      <c r="G29" s="1529"/>
      <c r="H29" s="1529"/>
      <c r="I29" s="1529"/>
      <c r="J29" s="1529"/>
      <c r="K29" s="1529"/>
      <c r="L29" s="1529"/>
      <c r="M29" s="1529"/>
      <c r="N29" s="1530" t="s">
        <v>425</v>
      </c>
      <c r="O29" s="1530"/>
      <c r="P29" s="1530"/>
      <c r="Q29" s="1530"/>
      <c r="R29" s="1530"/>
      <c r="S29" s="1530"/>
      <c r="T29" s="1530"/>
      <c r="U29" s="1531"/>
      <c r="V29" s="1531"/>
      <c r="W29" s="1531"/>
      <c r="X29" s="1531"/>
      <c r="Y29" s="1531"/>
      <c r="Z29" s="1531"/>
      <c r="AA29" s="1531"/>
      <c r="AB29" s="1531"/>
      <c r="AC29" s="1531"/>
      <c r="AD29" s="1532">
        <f>X6</f>
        <v>46007</v>
      </c>
      <c r="AE29" s="1532"/>
      <c r="AF29" s="1532"/>
      <c r="AG29" s="1532"/>
      <c r="AH29" s="1532"/>
    </row>
    <row r="30" spans="1:34" ht="42.6" customHeight="1" x14ac:dyDescent="0.25">
      <c r="A30" s="1524" t="s">
        <v>424</v>
      </c>
      <c r="B30" s="1524" t="s">
        <v>424</v>
      </c>
      <c r="C30" s="1524"/>
      <c r="D30" s="1524"/>
      <c r="E30" s="1530" t="s">
        <v>2009</v>
      </c>
      <c r="F30" s="1530"/>
      <c r="G30" s="1530"/>
      <c r="H30" s="1530"/>
      <c r="I30" s="1530"/>
      <c r="J30" s="1530"/>
      <c r="K30" s="1530"/>
      <c r="L30" s="1530"/>
      <c r="M30" s="1530"/>
      <c r="N30" s="1530" t="s">
        <v>425</v>
      </c>
      <c r="O30" s="1530"/>
      <c r="P30" s="1530"/>
      <c r="Q30" s="1530"/>
      <c r="R30" s="1530"/>
      <c r="S30" s="1530"/>
      <c r="T30" s="1530"/>
      <c r="U30" s="1531"/>
      <c r="V30" s="1531"/>
      <c r="W30" s="1531"/>
      <c r="X30" s="1531"/>
      <c r="Y30" s="1531"/>
      <c r="Z30" s="1531"/>
      <c r="AA30" s="1531"/>
      <c r="AB30" s="1531"/>
      <c r="AC30" s="1531"/>
      <c r="AD30" s="1532">
        <f>AD29</f>
        <v>46007</v>
      </c>
      <c r="AE30" s="1532"/>
      <c r="AF30" s="1532"/>
      <c r="AG30" s="1532"/>
      <c r="AH30" s="1532"/>
    </row>
    <row r="31" spans="1:34" ht="43.5" customHeight="1" x14ac:dyDescent="0.25">
      <c r="A31" s="1524" t="s">
        <v>426</v>
      </c>
      <c r="B31" s="1524"/>
      <c r="C31" s="1524"/>
      <c r="D31" s="1524"/>
      <c r="E31" s="1533" t="s">
        <v>2049</v>
      </c>
      <c r="F31" s="1533"/>
      <c r="G31" s="1533"/>
      <c r="H31" s="1533"/>
      <c r="I31" s="1533"/>
      <c r="J31" s="1533"/>
      <c r="K31" s="1533"/>
      <c r="L31" s="1533"/>
      <c r="M31" s="1533"/>
      <c r="N31" s="1530" t="s">
        <v>2010</v>
      </c>
      <c r="O31" s="1530"/>
      <c r="P31" s="1530"/>
      <c r="Q31" s="1530"/>
      <c r="R31" s="1530"/>
      <c r="S31" s="1530"/>
      <c r="T31" s="1530"/>
      <c r="U31" s="1531"/>
      <c r="V31" s="1531"/>
      <c r="W31" s="1531"/>
      <c r="X31" s="1531"/>
      <c r="Y31" s="1531"/>
      <c r="Z31" s="1531"/>
      <c r="AA31" s="1531"/>
      <c r="AB31" s="1531"/>
      <c r="AC31" s="1531"/>
      <c r="AD31" s="1532">
        <f>AD29</f>
        <v>46007</v>
      </c>
      <c r="AE31" s="1532"/>
      <c r="AF31" s="1532"/>
      <c r="AG31" s="1532"/>
      <c r="AH31" s="1532"/>
    </row>
    <row r="32" spans="1:34" ht="18" customHeight="1" x14ac:dyDescent="0.25">
      <c r="A32" s="241"/>
      <c r="B32" s="242"/>
      <c r="C32" s="242"/>
      <c r="D32" s="242"/>
      <c r="E32" s="242"/>
      <c r="F32" s="242"/>
      <c r="G32" s="242"/>
      <c r="H32" s="242"/>
      <c r="I32" s="242"/>
      <c r="J32" s="242"/>
      <c r="K32" s="242"/>
      <c r="L32" s="242"/>
      <c r="M32" s="236"/>
      <c r="N32" s="236"/>
      <c r="O32" s="236"/>
      <c r="P32" s="236"/>
      <c r="Q32" s="236"/>
      <c r="R32" s="236"/>
      <c r="S32" s="236"/>
      <c r="T32" s="236"/>
      <c r="U32" s="236"/>
      <c r="V32" s="236"/>
      <c r="W32" s="236"/>
      <c r="X32" s="236"/>
      <c r="Y32" s="236"/>
      <c r="Z32" s="236"/>
      <c r="AA32" s="236"/>
      <c r="AB32" s="236"/>
      <c r="AC32" s="236"/>
      <c r="AD32" s="236"/>
      <c r="AE32" s="236"/>
      <c r="AF32" s="236"/>
      <c r="AG32" s="236"/>
      <c r="AH32" s="241"/>
    </row>
    <row r="33" spans="1:34" ht="18" customHeight="1" x14ac:dyDescent="0.25">
      <c r="A33" s="1525" t="s">
        <v>427</v>
      </c>
      <c r="B33" s="1526"/>
      <c r="C33" s="1526"/>
      <c r="D33" s="1526"/>
      <c r="E33" s="1526"/>
      <c r="F33" s="1526"/>
      <c r="G33" s="1526"/>
      <c r="H33" s="1526"/>
      <c r="I33" s="1526"/>
      <c r="J33" s="1526"/>
      <c r="K33" s="1526"/>
      <c r="L33" s="1526"/>
      <c r="M33" s="1526"/>
      <c r="N33" s="1526"/>
      <c r="O33" s="1526"/>
      <c r="P33" s="1526"/>
      <c r="Q33" s="1526"/>
      <c r="R33" s="1526"/>
      <c r="S33" s="1526"/>
      <c r="T33" s="1526"/>
      <c r="U33" s="1526"/>
      <c r="V33" s="1526"/>
      <c r="W33" s="1526"/>
      <c r="X33" s="1526"/>
      <c r="Y33" s="1526"/>
      <c r="Z33" s="1526"/>
      <c r="AA33" s="1526"/>
      <c r="AB33" s="1526"/>
      <c r="AC33" s="1526"/>
      <c r="AD33" s="1526"/>
      <c r="AE33" s="1526"/>
      <c r="AF33" s="1526"/>
      <c r="AG33" s="1526"/>
      <c r="AH33" s="1527"/>
    </row>
    <row r="34" spans="1:34" ht="29.25" customHeight="1" x14ac:dyDescent="0.25">
      <c r="A34" s="1524" t="s">
        <v>428</v>
      </c>
      <c r="B34" s="1524"/>
      <c r="C34" s="1524"/>
      <c r="D34" s="1524"/>
      <c r="E34" s="1524"/>
      <c r="F34" s="1524" t="s">
        <v>422</v>
      </c>
      <c r="G34" s="1524"/>
      <c r="H34" s="1524"/>
      <c r="I34" s="1524" t="s">
        <v>429</v>
      </c>
      <c r="J34" s="1524"/>
      <c r="K34" s="1524"/>
      <c r="L34" s="1524"/>
      <c r="M34" s="1524"/>
      <c r="N34" s="1524"/>
      <c r="O34" s="1524"/>
      <c r="P34" s="1524"/>
      <c r="Q34" s="1524"/>
      <c r="R34" s="1524"/>
      <c r="S34" s="1524"/>
      <c r="T34" s="1524"/>
      <c r="U34" s="1524"/>
      <c r="V34" s="1524"/>
      <c r="W34" s="1524"/>
      <c r="X34" s="1524"/>
      <c r="Y34" s="1524"/>
      <c r="Z34" s="1524"/>
      <c r="AA34" s="1524"/>
      <c r="AB34" s="1524"/>
      <c r="AC34" s="1524" t="s">
        <v>430</v>
      </c>
      <c r="AD34" s="1524"/>
      <c r="AE34" s="1524"/>
      <c r="AF34" s="1524"/>
      <c r="AG34" s="1524"/>
      <c r="AH34" s="1524"/>
    </row>
    <row r="35" spans="1:34" ht="36" customHeight="1" x14ac:dyDescent="0.25">
      <c r="A35" s="1534" t="s">
        <v>357</v>
      </c>
      <c r="B35" s="1534"/>
      <c r="C35" s="1534"/>
      <c r="D35" s="1534"/>
      <c r="E35" s="1534"/>
      <c r="F35" s="1535">
        <v>45142</v>
      </c>
      <c r="G35" s="1535"/>
      <c r="H35" s="1535"/>
      <c r="I35" s="1534" t="s">
        <v>1941</v>
      </c>
      <c r="J35" s="1534"/>
      <c r="K35" s="1534"/>
      <c r="L35" s="1534"/>
      <c r="M35" s="1534"/>
      <c r="N35" s="1534"/>
      <c r="O35" s="1534"/>
      <c r="P35" s="1534"/>
      <c r="Q35" s="1534"/>
      <c r="R35" s="1534"/>
      <c r="S35" s="1534"/>
      <c r="T35" s="1534"/>
      <c r="U35" s="1534"/>
      <c r="V35" s="1534"/>
      <c r="W35" s="1534"/>
      <c r="X35" s="1534"/>
      <c r="Y35" s="1534"/>
      <c r="Z35" s="1534"/>
      <c r="AA35" s="1534"/>
      <c r="AB35" s="1534"/>
      <c r="AC35" s="1534"/>
      <c r="AD35" s="1534"/>
      <c r="AE35" s="1534"/>
      <c r="AF35" s="1534"/>
      <c r="AG35" s="1534"/>
      <c r="AH35" s="1534"/>
    </row>
    <row r="36" spans="1:34" ht="36" customHeight="1" x14ac:dyDescent="0.25">
      <c r="A36" s="1536" t="s">
        <v>431</v>
      </c>
      <c r="B36" s="1536"/>
      <c r="C36" s="1536"/>
      <c r="D36" s="1536"/>
      <c r="E36" s="1536"/>
      <c r="F36" s="1535">
        <v>45142</v>
      </c>
      <c r="G36" s="1535"/>
      <c r="H36" s="1535"/>
      <c r="I36" s="1536" t="s">
        <v>2005</v>
      </c>
      <c r="J36" s="1536"/>
      <c r="K36" s="1536"/>
      <c r="L36" s="1536"/>
      <c r="M36" s="1536"/>
      <c r="N36" s="1536"/>
      <c r="O36" s="1536"/>
      <c r="P36" s="1536"/>
      <c r="Q36" s="1536"/>
      <c r="R36" s="1536"/>
      <c r="S36" s="1536"/>
      <c r="T36" s="1536"/>
      <c r="U36" s="1536"/>
      <c r="V36" s="1536"/>
      <c r="W36" s="1536"/>
      <c r="X36" s="1536"/>
      <c r="Y36" s="1536"/>
      <c r="Z36" s="1536"/>
      <c r="AA36" s="1536"/>
      <c r="AB36" s="1536"/>
      <c r="AC36" s="1536"/>
      <c r="AD36" s="1536"/>
      <c r="AE36" s="1536"/>
      <c r="AF36" s="1536"/>
      <c r="AG36" s="1536"/>
      <c r="AH36" s="1536"/>
    </row>
    <row r="37" spans="1:34" ht="36" customHeight="1" x14ac:dyDescent="0.25">
      <c r="A37" s="1536" t="s">
        <v>432</v>
      </c>
      <c r="B37" s="1536"/>
      <c r="C37" s="1536"/>
      <c r="D37" s="1536"/>
      <c r="E37" s="1536"/>
      <c r="F37" s="1535">
        <v>45197</v>
      </c>
      <c r="G37" s="1535"/>
      <c r="H37" s="1535"/>
      <c r="I37" s="1536" t="s">
        <v>433</v>
      </c>
      <c r="J37" s="1536"/>
      <c r="K37" s="1536"/>
      <c r="L37" s="1536"/>
      <c r="M37" s="1536"/>
      <c r="N37" s="1536"/>
      <c r="O37" s="1536"/>
      <c r="P37" s="1536"/>
      <c r="Q37" s="1536"/>
      <c r="R37" s="1536"/>
      <c r="S37" s="1536"/>
      <c r="T37" s="1536"/>
      <c r="U37" s="1536"/>
      <c r="V37" s="1536"/>
      <c r="W37" s="1536"/>
      <c r="X37" s="1536"/>
      <c r="Y37" s="1536"/>
      <c r="Z37" s="1536"/>
      <c r="AA37" s="1536"/>
      <c r="AB37" s="1536"/>
      <c r="AC37" s="1536"/>
      <c r="AD37" s="1536"/>
      <c r="AE37" s="1536"/>
      <c r="AF37" s="1536"/>
      <c r="AG37" s="1536"/>
      <c r="AH37" s="1536"/>
    </row>
    <row r="38" spans="1:34" ht="36" customHeight="1" x14ac:dyDescent="0.25">
      <c r="A38" s="1536" t="s">
        <v>1963</v>
      </c>
      <c r="B38" s="1536"/>
      <c r="C38" s="1536"/>
      <c r="D38" s="1536"/>
      <c r="E38" s="1536"/>
      <c r="F38" s="1537">
        <v>46004</v>
      </c>
      <c r="G38" s="1537"/>
      <c r="H38" s="1537"/>
      <c r="I38" s="1536" t="s">
        <v>2006</v>
      </c>
      <c r="J38" s="1536"/>
      <c r="K38" s="1536"/>
      <c r="L38" s="1536"/>
      <c r="M38" s="1536"/>
      <c r="N38" s="1536"/>
      <c r="O38" s="1536"/>
      <c r="P38" s="1536"/>
      <c r="Q38" s="1536"/>
      <c r="R38" s="1536"/>
      <c r="S38" s="1536"/>
      <c r="T38" s="1536"/>
      <c r="U38" s="1536"/>
      <c r="V38" s="1536"/>
      <c r="W38" s="1536"/>
      <c r="X38" s="1536"/>
      <c r="Y38" s="1536"/>
      <c r="Z38" s="1536"/>
      <c r="AA38" s="1536"/>
      <c r="AB38" s="1536"/>
      <c r="AC38" s="1536"/>
      <c r="AD38" s="1536"/>
      <c r="AE38" s="1536"/>
      <c r="AF38" s="1536"/>
      <c r="AG38" s="1536"/>
      <c r="AH38" s="1536"/>
    </row>
    <row r="39" spans="1:34" ht="44.25" customHeight="1" x14ac:dyDescent="0.25">
      <c r="A39" s="1536">
        <v>0</v>
      </c>
      <c r="B39" s="1536"/>
      <c r="C39" s="1536"/>
      <c r="D39" s="1536"/>
      <c r="E39" s="1536"/>
      <c r="F39" s="1537">
        <f>AD31</f>
        <v>46007</v>
      </c>
      <c r="G39" s="1537"/>
      <c r="H39" s="1537"/>
      <c r="I39" s="1536" t="s">
        <v>2050</v>
      </c>
      <c r="J39" s="1536"/>
      <c r="K39" s="1536"/>
      <c r="L39" s="1536"/>
      <c r="M39" s="1536"/>
      <c r="N39" s="1536"/>
      <c r="O39" s="1536"/>
      <c r="P39" s="1536"/>
      <c r="Q39" s="1536"/>
      <c r="R39" s="1536"/>
      <c r="S39" s="1536"/>
      <c r="T39" s="1536"/>
      <c r="U39" s="1536"/>
      <c r="V39" s="1536"/>
      <c r="W39" s="1536"/>
      <c r="X39" s="1536"/>
      <c r="Y39" s="1536"/>
      <c r="Z39" s="1536"/>
      <c r="AA39" s="1536"/>
      <c r="AB39" s="1536"/>
      <c r="AC39" s="1536"/>
      <c r="AD39" s="1536"/>
      <c r="AE39" s="1536"/>
      <c r="AF39" s="1536"/>
      <c r="AG39" s="1536"/>
      <c r="AH39" s="1536"/>
    </row>
    <row r="40" spans="1:34" ht="15" customHeight="1" x14ac:dyDescent="0.25">
      <c r="A40" s="1402"/>
      <c r="B40" s="1403"/>
      <c r="C40" s="1403"/>
      <c r="D40" s="1403"/>
      <c r="E40" s="1403"/>
      <c r="F40" s="1403"/>
      <c r="G40" s="1403"/>
      <c r="H40" s="1403"/>
      <c r="I40" s="1403"/>
      <c r="J40" s="1403"/>
      <c r="K40" s="1403"/>
      <c r="L40" s="1403"/>
      <c r="M40" s="1403"/>
      <c r="N40" s="1403"/>
      <c r="O40" s="1403"/>
      <c r="P40" s="1403"/>
      <c r="Q40" s="1403"/>
      <c r="R40" s="1403"/>
      <c r="S40" s="1403"/>
      <c r="T40" s="1403"/>
      <c r="U40" s="1403"/>
      <c r="V40" s="1403"/>
      <c r="W40" s="1403"/>
      <c r="X40" s="1403"/>
      <c r="Y40" s="1403"/>
      <c r="Z40" s="1403"/>
      <c r="AA40" s="1403"/>
      <c r="AB40" s="1403"/>
      <c r="AC40" s="1403"/>
      <c r="AD40" s="1403"/>
      <c r="AE40" s="1403"/>
      <c r="AF40" s="1403"/>
      <c r="AG40" s="1403"/>
      <c r="AH40" s="1402"/>
    </row>
    <row r="41" spans="1:34" ht="21" x14ac:dyDescent="0.25">
      <c r="A41" s="241"/>
      <c r="B41" s="236"/>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41"/>
    </row>
    <row r="42" spans="1:34" ht="21" x14ac:dyDescent="0.25">
      <c r="A42" s="241"/>
      <c r="B42" s="236"/>
      <c r="C42" s="236"/>
      <c r="D42" s="236"/>
      <c r="E42" s="236"/>
      <c r="F42" s="236"/>
      <c r="G42" s="236"/>
      <c r="H42" s="236"/>
      <c r="I42" s="236"/>
      <c r="J42" s="236"/>
      <c r="K42" s="236"/>
      <c r="L42" s="236"/>
      <c r="M42" s="236"/>
      <c r="N42" s="236"/>
      <c r="O42" s="236"/>
      <c r="P42" s="236"/>
      <c r="Q42" s="236"/>
      <c r="R42" s="236"/>
      <c r="S42" s="236"/>
      <c r="T42" s="236"/>
      <c r="U42" s="236"/>
      <c r="V42" s="236"/>
      <c r="W42" s="236"/>
      <c r="X42" s="236"/>
      <c r="Y42" s="236"/>
      <c r="Z42" s="236"/>
      <c r="AA42" s="236"/>
      <c r="AB42" s="236"/>
      <c r="AC42" s="236"/>
      <c r="AD42" s="236"/>
      <c r="AE42" s="236"/>
      <c r="AF42" s="236"/>
      <c r="AG42" s="236"/>
      <c r="AH42" s="241"/>
    </row>
    <row r="43" spans="1:34" ht="21" x14ac:dyDescent="0.25">
      <c r="A43" s="241"/>
      <c r="B43" s="236"/>
      <c r="C43" s="236"/>
      <c r="D43" s="236"/>
      <c r="E43" s="236"/>
      <c r="F43" s="236"/>
      <c r="G43" s="236"/>
      <c r="H43" s="236"/>
      <c r="I43" s="236"/>
      <c r="J43" s="236"/>
      <c r="K43" s="236"/>
      <c r="L43" s="236"/>
      <c r="M43" s="236"/>
      <c r="N43" s="236"/>
      <c r="O43" s="236"/>
      <c r="P43" s="236"/>
      <c r="Q43" s="236"/>
      <c r="R43" s="236"/>
      <c r="S43" s="236"/>
      <c r="T43" s="236"/>
      <c r="U43" s="236"/>
      <c r="V43" s="236"/>
      <c r="W43" s="236"/>
      <c r="X43" s="236"/>
      <c r="Y43" s="236"/>
      <c r="Z43" s="236"/>
      <c r="AA43" s="236"/>
      <c r="AB43" s="236"/>
      <c r="AC43" s="236"/>
      <c r="AD43" s="236"/>
      <c r="AE43" s="236"/>
      <c r="AF43" s="236"/>
      <c r="AG43" s="236"/>
      <c r="AH43" s="241"/>
    </row>
    <row r="44" spans="1:34" ht="21" x14ac:dyDescent="0.25">
      <c r="A44" s="241"/>
      <c r="B44" s="236"/>
      <c r="C44" s="236"/>
      <c r="D44" s="236"/>
      <c r="E44" s="236"/>
      <c r="F44" s="236"/>
      <c r="G44" s="236"/>
      <c r="H44" s="236"/>
      <c r="I44" s="236"/>
      <c r="J44" s="236"/>
      <c r="K44" s="236"/>
      <c r="L44" s="236"/>
      <c r="M44" s="236"/>
      <c r="N44" s="236"/>
      <c r="O44" s="236"/>
      <c r="P44" s="236"/>
      <c r="Q44" s="236"/>
      <c r="R44" s="236"/>
      <c r="S44" s="236"/>
      <c r="T44" s="236"/>
      <c r="U44" s="236"/>
      <c r="V44" s="236"/>
      <c r="W44" s="236"/>
      <c r="X44" s="236"/>
      <c r="Y44" s="236"/>
      <c r="Z44" s="236"/>
      <c r="AA44" s="236"/>
      <c r="AB44" s="236"/>
      <c r="AC44" s="236"/>
      <c r="AD44" s="236"/>
      <c r="AE44" s="236"/>
      <c r="AF44" s="236"/>
      <c r="AG44" s="236"/>
      <c r="AH44" s="241"/>
    </row>
    <row r="45" spans="1:34" ht="15" x14ac:dyDescent="0.25">
      <c r="A45" s="241"/>
      <c r="B45" s="241"/>
      <c r="C45" s="241"/>
      <c r="D45" s="241"/>
      <c r="E45" s="241"/>
      <c r="F45" s="241"/>
      <c r="G45" s="241"/>
      <c r="H45" s="241"/>
      <c r="I45" s="241"/>
      <c r="J45" s="241"/>
      <c r="K45" s="241"/>
      <c r="L45" s="241"/>
      <c r="M45" s="241"/>
      <c r="N45" s="241"/>
      <c r="O45" s="241"/>
      <c r="P45" s="241"/>
      <c r="Q45" s="241"/>
      <c r="R45" s="241"/>
      <c r="S45" s="241"/>
      <c r="T45" s="241"/>
      <c r="U45" s="241"/>
      <c r="V45" s="241"/>
      <c r="W45" s="241"/>
      <c r="X45" s="241"/>
      <c r="Y45" s="241"/>
      <c r="Z45" s="241"/>
      <c r="AA45" s="241"/>
      <c r="AB45" s="241"/>
      <c r="AC45" s="241"/>
      <c r="AD45" s="241"/>
      <c r="AE45" s="241"/>
      <c r="AF45" s="241"/>
      <c r="AG45" s="241"/>
      <c r="AH45" s="241"/>
    </row>
  </sheetData>
  <mergeCells count="57">
    <mergeCell ref="A39:E39"/>
    <mergeCell ref="F39:H39"/>
    <mergeCell ref="I39:AB39"/>
    <mergeCell ref="AC39:AH39"/>
    <mergeCell ref="A37:E37"/>
    <mergeCell ref="F37:H37"/>
    <mergeCell ref="I37:AB37"/>
    <mergeCell ref="AC37:AH37"/>
    <mergeCell ref="A38:E38"/>
    <mergeCell ref="F38:H38"/>
    <mergeCell ref="I38:AB38"/>
    <mergeCell ref="AC38:AH38"/>
    <mergeCell ref="A35:E35"/>
    <mergeCell ref="F35:H35"/>
    <mergeCell ref="I35:AB35"/>
    <mergeCell ref="AC35:AH35"/>
    <mergeCell ref="A36:E36"/>
    <mergeCell ref="F36:H36"/>
    <mergeCell ref="I36:AB36"/>
    <mergeCell ref="AC36:AH36"/>
    <mergeCell ref="AD31:AH31"/>
    <mergeCell ref="A34:E34"/>
    <mergeCell ref="F34:H34"/>
    <mergeCell ref="I34:AB34"/>
    <mergeCell ref="AC34:AH34"/>
    <mergeCell ref="R6:W6"/>
    <mergeCell ref="A33:AH33"/>
    <mergeCell ref="A29:D29"/>
    <mergeCell ref="E29:M29"/>
    <mergeCell ref="N29:T29"/>
    <mergeCell ref="U29:AC29"/>
    <mergeCell ref="AD29:AH29"/>
    <mergeCell ref="A30:D30"/>
    <mergeCell ref="E30:M30"/>
    <mergeCell ref="N30:T30"/>
    <mergeCell ref="U30:AC30"/>
    <mergeCell ref="AD30:AH30"/>
    <mergeCell ref="A31:D31"/>
    <mergeCell ref="E31:M31"/>
    <mergeCell ref="N31:T31"/>
    <mergeCell ref="U31:AC31"/>
    <mergeCell ref="X6:AB6"/>
    <mergeCell ref="AC6:AH6"/>
    <mergeCell ref="A27:AH27"/>
    <mergeCell ref="A28:D28"/>
    <mergeCell ref="E28:M28"/>
    <mergeCell ref="N28:T28"/>
    <mergeCell ref="U28:AC28"/>
    <mergeCell ref="AD28:AH28"/>
    <mergeCell ref="A1:H6"/>
    <mergeCell ref="I1:AH2"/>
    <mergeCell ref="I3:AH4"/>
    <mergeCell ref="I5:Q5"/>
    <mergeCell ref="R5:W5"/>
    <mergeCell ref="X5:AB5"/>
    <mergeCell ref="AC5:AH5"/>
    <mergeCell ref="I6:Q6"/>
  </mergeCells>
  <printOptions horizontalCentered="1"/>
  <pageMargins left="0.78740157480314965" right="0.78740157480314965" top="0.78740157480314965" bottom="0.78740157480314965" header="1.7322834645669292" footer="0.51181102362204722"/>
  <pageSetup scale="74" fitToHeight="0" orientation="portrait" r:id="rId1"/>
  <headerFooter>
    <oddFooter>&amp;L&amp;8DNC-02208-ELE-MC-000001</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A8800-6641-4571-8B94-8D03A9B3639B}">
  <sheetPr codeName="Hoja12">
    <pageSetUpPr fitToPage="1"/>
  </sheetPr>
  <dimension ref="B1:BT1048235"/>
  <sheetViews>
    <sheetView showGridLines="0" view="pageBreakPreview" zoomScale="80" zoomScaleNormal="75" zoomScaleSheetLayoutView="80" zoomScalePageLayoutView="10" workbookViewId="0">
      <selection activeCell="F4" sqref="F4"/>
    </sheetView>
  </sheetViews>
  <sheetFormatPr baseColWidth="10" defaultColWidth="11.44140625" defaultRowHeight="15.6" outlineLevelRow="1" x14ac:dyDescent="0.25"/>
  <cols>
    <col min="1" max="1" width="3.5546875" style="545" customWidth="1"/>
    <col min="2" max="2" width="7.88671875" style="338" hidden="1" customWidth="1"/>
    <col min="3" max="3" width="8.88671875" style="545" customWidth="1"/>
    <col min="4" max="4" width="16.88671875" style="545" bestFit="1" customWidth="1"/>
    <col min="5" max="5" width="22.109375" style="545" customWidth="1"/>
    <col min="6" max="6" width="14.44140625" style="545" customWidth="1"/>
    <col min="7" max="7" width="8" style="545" customWidth="1"/>
    <col min="8" max="8" width="7.109375" style="1038" customWidth="1"/>
    <col min="9" max="9" width="5.5546875" style="556" customWidth="1"/>
    <col min="10" max="10" width="8.88671875" style="545" customWidth="1"/>
    <col min="11" max="11" width="7.109375" style="545" customWidth="1"/>
    <col min="12" max="12" width="6.109375" style="545" customWidth="1"/>
    <col min="13" max="13" width="7.109375" style="545" customWidth="1"/>
    <col min="14" max="14" width="9.109375" style="545" customWidth="1"/>
    <col min="15" max="15" width="8.44140625" style="545" customWidth="1"/>
    <col min="16" max="16" width="7.109375" style="545" customWidth="1"/>
    <col min="17" max="17" width="7.5546875" style="545" customWidth="1"/>
    <col min="18" max="18" width="8" style="545" customWidth="1"/>
    <col min="19" max="19" width="7.109375" style="545" customWidth="1"/>
    <col min="20" max="20" width="33.44140625" style="545" customWidth="1"/>
    <col min="21" max="21" width="19" style="545" customWidth="1"/>
    <col min="22" max="22" width="20" style="551" customWidth="1"/>
    <col min="23" max="23" width="13.5546875" style="545" customWidth="1"/>
    <col min="24" max="24" width="21" style="545" customWidth="1"/>
    <col min="25" max="25" width="8.44140625" style="545" customWidth="1"/>
    <col min="26" max="26" width="7" style="545" customWidth="1"/>
    <col min="27" max="28" width="6.88671875" style="545" customWidth="1"/>
    <col min="29" max="29" width="11.109375" style="545" customWidth="1"/>
    <col min="30" max="30" width="8.109375" style="545" customWidth="1"/>
    <col min="31" max="31" width="7.44140625" style="545" customWidth="1"/>
    <col min="32" max="33" width="7.88671875" style="545" customWidth="1"/>
    <col min="34" max="34" width="9.88671875" style="337" customWidth="1"/>
    <col min="35" max="35" width="7" style="337" customWidth="1"/>
    <col min="36" max="36" width="13.44140625" style="337" customWidth="1"/>
    <col min="37" max="39" width="7" style="337" customWidth="1"/>
    <col min="40" max="41" width="8" style="545" customWidth="1"/>
    <col min="42" max="43" width="11.5546875" style="545" customWidth="1"/>
    <col min="44" max="44" width="16" style="337" customWidth="1"/>
    <col min="45" max="45" width="7" style="337" customWidth="1"/>
    <col min="46" max="46" width="8" style="337" customWidth="1"/>
    <col min="47" max="47" width="7" style="337" customWidth="1"/>
    <col min="48" max="48" width="12" style="337" customWidth="1"/>
    <col min="49" max="49" width="7.88671875" style="337" customWidth="1"/>
    <col min="50" max="52" width="9.88671875" style="337" customWidth="1"/>
    <col min="53" max="53" width="7.44140625" style="615" customWidth="1"/>
    <col min="54" max="54" width="8" style="615" customWidth="1"/>
    <col min="55" max="55" width="8.44140625" style="615" customWidth="1"/>
    <col min="56" max="56" width="7.44140625" style="615" customWidth="1"/>
    <col min="57" max="57" width="9" style="615" customWidth="1"/>
    <col min="58" max="59" width="12.44140625" style="615" customWidth="1"/>
    <col min="60" max="60" width="10.44140625" style="615" customWidth="1"/>
    <col min="61" max="62" width="12.5546875" style="615" customWidth="1"/>
    <col min="63" max="63" width="10.88671875" style="615" customWidth="1"/>
    <col min="64" max="64" width="6.5546875" style="615" customWidth="1"/>
    <col min="65" max="65" width="9.5546875" style="615" customWidth="1"/>
    <col min="66" max="66" width="25.44140625" style="615" customWidth="1"/>
    <col min="67" max="68" width="25.88671875" style="615" customWidth="1"/>
    <col min="69" max="70" width="21.44140625" style="615" customWidth="1"/>
    <col min="71" max="71" width="13.44140625" style="607" customWidth="1"/>
    <col min="72" max="72" width="11.44140625" style="544" customWidth="1"/>
    <col min="73" max="76" width="11.44140625" style="545"/>
    <col min="77" max="77" width="0" style="545" hidden="1" customWidth="1"/>
    <col min="78" max="16384" width="11.44140625" style="545"/>
  </cols>
  <sheetData>
    <row r="1" spans="2:72" s="593" customFormat="1" ht="18" customHeight="1" outlineLevel="1" x14ac:dyDescent="0.25">
      <c r="B1" s="591"/>
      <c r="C1" s="761"/>
      <c r="D1" s="761"/>
      <c r="E1" s="761"/>
      <c r="F1" s="761"/>
      <c r="G1" s="761"/>
      <c r="H1" s="1036"/>
      <c r="I1" s="1036"/>
      <c r="J1" s="592"/>
      <c r="K1" s="592"/>
      <c r="L1" s="592"/>
      <c r="M1" s="592"/>
      <c r="N1" s="592"/>
      <c r="O1" s="592"/>
      <c r="P1" s="592"/>
      <c r="Q1" s="592"/>
      <c r="R1" s="592"/>
      <c r="S1" s="592"/>
      <c r="T1" s="592"/>
      <c r="U1" s="592"/>
      <c r="V1" s="592"/>
      <c r="W1" s="592"/>
      <c r="X1" s="592"/>
      <c r="Y1" s="592"/>
      <c r="Z1" s="592"/>
      <c r="AA1" s="592"/>
      <c r="AB1" s="592"/>
      <c r="AC1" s="592"/>
      <c r="AD1" s="592"/>
      <c r="AE1" s="592"/>
      <c r="AF1" s="592"/>
      <c r="AG1" s="592"/>
      <c r="AH1" s="592"/>
      <c r="AI1" s="592"/>
      <c r="AJ1" s="592"/>
      <c r="AK1" s="592"/>
      <c r="AL1" s="592"/>
      <c r="AM1" s="592"/>
      <c r="AR1" s="592"/>
      <c r="AS1" s="592"/>
      <c r="AT1" s="592"/>
      <c r="AU1" s="592"/>
      <c r="AV1" s="592"/>
      <c r="AW1" s="592"/>
      <c r="AX1" s="592"/>
      <c r="AY1" s="592"/>
      <c r="AZ1" s="592"/>
      <c r="BS1" s="591"/>
    </row>
    <row r="2" spans="2:72" s="593" customFormat="1" ht="33" customHeight="1" x14ac:dyDescent="0.25">
      <c r="B2" s="591"/>
      <c r="C2" s="761"/>
      <c r="D2" s="761"/>
      <c r="E2" s="761"/>
      <c r="F2" s="1541" t="str">
        <f>'PORTADA '!I1</f>
        <v>MEMORIA DE CÁLCULO DE CONDUCTORES, CANALIZACIONES Y CUADRO DE CARGAS - DT-58</v>
      </c>
      <c r="G2" s="1541"/>
      <c r="H2" s="1541"/>
      <c r="I2" s="1541"/>
      <c r="J2" s="1541"/>
      <c r="K2" s="1541"/>
      <c r="L2" s="1541"/>
      <c r="M2" s="1541"/>
      <c r="N2" s="1541"/>
      <c r="O2" s="1541"/>
      <c r="P2" s="1541"/>
      <c r="Q2" s="1541"/>
      <c r="R2" s="1541"/>
      <c r="S2" s="1541"/>
      <c r="T2" s="1541"/>
      <c r="U2" s="1541"/>
      <c r="V2" s="1541"/>
      <c r="W2" s="1541"/>
      <c r="X2" s="1541"/>
      <c r="Y2" s="1541"/>
      <c r="Z2" s="1541"/>
      <c r="AA2" s="1541"/>
      <c r="AB2" s="1541"/>
      <c r="AC2" s="1541"/>
      <c r="AD2" s="1541"/>
      <c r="AE2" s="1541"/>
      <c r="AF2" s="1541"/>
      <c r="AG2" s="1541"/>
      <c r="AH2" s="592"/>
      <c r="AI2" s="592"/>
      <c r="AJ2" s="592"/>
      <c r="AK2" s="592"/>
      <c r="AL2" s="592"/>
      <c r="AM2" s="592"/>
      <c r="AR2" s="592"/>
      <c r="AS2" s="592"/>
      <c r="AT2" s="592"/>
      <c r="AU2" s="592"/>
      <c r="AV2" s="592"/>
      <c r="AW2" s="592"/>
      <c r="AX2" s="592"/>
      <c r="AY2" s="592"/>
      <c r="AZ2" s="592"/>
      <c r="BS2" s="591"/>
    </row>
    <row r="3" spans="2:72" s="593" customFormat="1" ht="22.5" customHeight="1" x14ac:dyDescent="0.25">
      <c r="B3" s="591"/>
      <c r="C3" s="761"/>
      <c r="D3" s="761"/>
      <c r="E3" s="761"/>
      <c r="F3" s="1540" t="str">
        <f>'PORTADA '!I3</f>
        <v>Contrato No. 3037739 ODS-039: “INGENIERÍA BÁSICA DESARROLLO INTEGRAL DINA T - PALOGRANDE”</v>
      </c>
      <c r="G3" s="1540"/>
      <c r="H3" s="1540"/>
      <c r="I3" s="1540"/>
      <c r="J3" s="1540"/>
      <c r="K3" s="1540"/>
      <c r="L3" s="1540"/>
      <c r="M3" s="1540"/>
      <c r="N3" s="1540"/>
      <c r="O3" s="1540"/>
      <c r="P3" s="1540"/>
      <c r="Q3" s="1540"/>
      <c r="R3" s="1540"/>
      <c r="S3" s="1540"/>
      <c r="T3" s="1540"/>
      <c r="U3" s="1540"/>
      <c r="V3" s="1540"/>
      <c r="W3" s="1540"/>
      <c r="X3" s="1540"/>
      <c r="Y3" s="1540"/>
      <c r="Z3" s="1540"/>
      <c r="AA3" s="1540"/>
      <c r="AB3" s="1540"/>
      <c r="AC3" s="1540"/>
      <c r="AD3" s="1540"/>
      <c r="AE3" s="1540"/>
      <c r="AF3" s="1540"/>
      <c r="AG3" s="1540"/>
      <c r="AH3" s="592"/>
      <c r="AI3" s="592"/>
      <c r="AJ3" s="592"/>
      <c r="AK3" s="592"/>
      <c r="AL3" s="592"/>
      <c r="AM3" s="592"/>
      <c r="AR3" s="592"/>
      <c r="AS3" s="592"/>
      <c r="AT3" s="592"/>
      <c r="AU3" s="592"/>
      <c r="AV3" s="592"/>
      <c r="AW3" s="592"/>
      <c r="AX3" s="592"/>
      <c r="AY3" s="592"/>
      <c r="AZ3" s="592"/>
      <c r="BS3" s="591"/>
    </row>
    <row r="4" spans="2:72" s="593" customFormat="1" ht="13.5" customHeight="1" x14ac:dyDescent="0.25">
      <c r="B4" s="591"/>
      <c r="C4" s="761"/>
      <c r="D4" s="761"/>
      <c r="E4" s="761"/>
      <c r="F4" s="1371" t="s">
        <v>3</v>
      </c>
      <c r="G4" s="1542">
        <f>'PORTADA '!R6</f>
        <v>0</v>
      </c>
      <c r="H4" s="1542"/>
      <c r="I4" s="1542"/>
      <c r="J4" s="1542"/>
      <c r="K4" s="1542"/>
      <c r="L4" s="1542"/>
      <c r="M4" s="1542"/>
      <c r="N4" s="1542"/>
      <c r="O4" s="1542"/>
      <c r="P4" s="1542"/>
      <c r="Q4" s="1542"/>
      <c r="R4" s="1542"/>
      <c r="S4" s="1542"/>
      <c r="T4" s="1542"/>
      <c r="U4" s="1542"/>
      <c r="V4" s="1542"/>
      <c r="W4" s="1542"/>
      <c r="X4" s="1542"/>
      <c r="Y4" s="1542"/>
      <c r="Z4" s="1542"/>
      <c r="AA4" s="1542"/>
      <c r="AB4" s="1542"/>
      <c r="AC4" s="1542"/>
      <c r="AD4" s="1542"/>
      <c r="AE4" s="1542"/>
      <c r="AF4" s="1542"/>
      <c r="AG4" s="1542"/>
      <c r="AH4" s="592"/>
      <c r="AI4" s="592"/>
      <c r="AJ4" s="592"/>
      <c r="AK4" s="592"/>
      <c r="AL4" s="592"/>
      <c r="AM4" s="592"/>
      <c r="AR4" s="592"/>
      <c r="AS4" s="592"/>
      <c r="AT4" s="592"/>
      <c r="AU4" s="592"/>
      <c r="AV4" s="592"/>
      <c r="AW4" s="592"/>
      <c r="AX4" s="592"/>
      <c r="AY4" s="592"/>
      <c r="AZ4" s="592"/>
      <c r="BS4" s="591"/>
    </row>
    <row r="5" spans="2:72" s="593" customFormat="1" ht="13.5" customHeight="1" x14ac:dyDescent="0.25">
      <c r="B5" s="591"/>
      <c r="C5" s="761"/>
      <c r="D5" s="761"/>
      <c r="E5" s="761"/>
      <c r="F5" s="1371" t="s">
        <v>4</v>
      </c>
      <c r="G5" s="1553">
        <f>'PORTADA '!X6</f>
        <v>46007</v>
      </c>
      <c r="H5" s="1554"/>
      <c r="I5" s="1554"/>
      <c r="J5" s="1554"/>
      <c r="K5" s="1554"/>
      <c r="L5" s="1553"/>
      <c r="M5" s="1554"/>
      <c r="N5" s="1554"/>
      <c r="O5" s="1554"/>
      <c r="P5" s="1554"/>
      <c r="Q5" s="1553"/>
      <c r="R5" s="1554"/>
      <c r="S5" s="1554"/>
      <c r="T5" s="1554"/>
      <c r="U5" s="1554"/>
      <c r="V5" s="1553"/>
      <c r="W5" s="1554"/>
      <c r="X5" s="1554"/>
      <c r="Y5" s="1554"/>
      <c r="Z5" s="1554"/>
      <c r="AA5" s="1553"/>
      <c r="AB5" s="1554"/>
      <c r="AC5" s="1554"/>
      <c r="AD5" s="1554"/>
      <c r="AE5" s="1554"/>
      <c r="AF5" s="1553"/>
      <c r="AG5" s="1554"/>
      <c r="AH5" s="592"/>
      <c r="AI5" s="592"/>
      <c r="AJ5" s="592"/>
      <c r="AK5" s="592"/>
      <c r="AL5" s="592"/>
      <c r="AM5" s="592"/>
      <c r="AR5" s="592"/>
      <c r="AS5" s="592"/>
      <c r="AT5" s="592"/>
      <c r="AU5" s="592"/>
      <c r="AV5" s="592"/>
      <c r="AW5" s="592"/>
      <c r="AX5" s="592"/>
      <c r="AY5" s="592"/>
      <c r="AZ5" s="592"/>
      <c r="BS5" s="591"/>
    </row>
    <row r="6" spans="2:72" s="593" customFormat="1" ht="26.25" customHeight="1" x14ac:dyDescent="0.25">
      <c r="B6" s="591"/>
      <c r="C6" s="761"/>
      <c r="D6" s="761"/>
      <c r="E6" s="761"/>
      <c r="F6" s="761"/>
      <c r="G6" s="761"/>
      <c r="H6" s="1036"/>
      <c r="I6" s="1036"/>
      <c r="J6" s="765"/>
      <c r="K6" s="765"/>
      <c r="L6" s="765"/>
      <c r="M6" s="765"/>
      <c r="N6" s="765"/>
      <c r="O6" s="765"/>
      <c r="P6" s="765"/>
      <c r="Q6" s="765"/>
      <c r="R6" s="765"/>
      <c r="S6" s="765"/>
      <c r="T6" s="765"/>
      <c r="U6" s="763"/>
      <c r="V6" s="763"/>
      <c r="W6" s="763"/>
      <c r="X6" s="764"/>
      <c r="Y6" s="764"/>
      <c r="Z6" s="764"/>
      <c r="AA6" s="764"/>
      <c r="AB6" s="764"/>
      <c r="AC6" s="763"/>
      <c r="AD6" s="763"/>
      <c r="AE6" s="763"/>
      <c r="AF6" s="763"/>
      <c r="AG6" s="763"/>
      <c r="AH6" s="1582" t="s">
        <v>434</v>
      </c>
      <c r="AI6" s="1583"/>
      <c r="AJ6" s="1603" t="s">
        <v>435</v>
      </c>
      <c r="AK6" s="1603"/>
      <c r="AL6" s="1603"/>
      <c r="AM6" s="1603"/>
      <c r="AN6" s="1603" t="s">
        <v>436</v>
      </c>
      <c r="AO6" s="1603"/>
      <c r="AP6" s="1603"/>
      <c r="AQ6" s="1603"/>
      <c r="AR6" s="1580" t="s">
        <v>437</v>
      </c>
      <c r="AS6" s="1581"/>
      <c r="AT6" s="592"/>
      <c r="AU6" s="1568" t="s">
        <v>438</v>
      </c>
      <c r="AV6" s="1568"/>
      <c r="AW6" s="1568"/>
      <c r="AX6" s="1568"/>
      <c r="AY6" s="1568" t="s">
        <v>439</v>
      </c>
      <c r="AZ6" s="1568"/>
      <c r="BS6" s="591"/>
      <c r="BT6" s="594"/>
    </row>
    <row r="7" spans="2:72" s="542" customFormat="1" ht="17.25" customHeight="1" thickBot="1" x14ac:dyDescent="0.25">
      <c r="B7" s="541" t="s">
        <v>351</v>
      </c>
      <c r="C7" s="541">
        <v>0</v>
      </c>
      <c r="D7" s="541">
        <v>1</v>
      </c>
      <c r="E7" s="541">
        <v>2</v>
      </c>
      <c r="F7" s="541">
        <v>3</v>
      </c>
      <c r="G7" s="541">
        <v>4</v>
      </c>
      <c r="H7" s="541">
        <v>5</v>
      </c>
      <c r="I7" s="541">
        <v>6</v>
      </c>
      <c r="J7" s="541">
        <v>7</v>
      </c>
      <c r="K7" s="541">
        <v>8</v>
      </c>
      <c r="L7" s="541">
        <v>9</v>
      </c>
      <c r="M7" s="541">
        <v>10</v>
      </c>
      <c r="N7" s="541">
        <v>11</v>
      </c>
      <c r="O7" s="541">
        <v>12</v>
      </c>
      <c r="P7" s="541">
        <v>13</v>
      </c>
      <c r="Q7" s="541">
        <v>14</v>
      </c>
      <c r="R7" s="541">
        <v>15</v>
      </c>
      <c r="S7" s="541">
        <v>16</v>
      </c>
      <c r="T7" s="541">
        <v>17</v>
      </c>
      <c r="U7" s="541">
        <v>18</v>
      </c>
      <c r="V7" s="541">
        <v>19</v>
      </c>
      <c r="W7" s="541">
        <v>20</v>
      </c>
      <c r="X7" s="541">
        <v>21</v>
      </c>
      <c r="Y7" s="541">
        <v>22</v>
      </c>
      <c r="Z7" s="541">
        <v>23</v>
      </c>
      <c r="AA7" s="541">
        <v>24</v>
      </c>
      <c r="AB7" s="541">
        <v>25</v>
      </c>
      <c r="AC7" s="541">
        <v>26</v>
      </c>
      <c r="AD7" s="541">
        <v>27</v>
      </c>
      <c r="AE7" s="541">
        <v>28</v>
      </c>
      <c r="AF7" s="541">
        <v>29</v>
      </c>
      <c r="AG7" s="541">
        <v>30</v>
      </c>
      <c r="AH7" s="541">
        <v>31</v>
      </c>
      <c r="AI7" s="541">
        <v>32</v>
      </c>
      <c r="AJ7" s="541">
        <v>33</v>
      </c>
      <c r="AK7" s="541">
        <v>34</v>
      </c>
      <c r="AL7" s="541">
        <v>35</v>
      </c>
      <c r="AM7" s="541">
        <v>36</v>
      </c>
      <c r="AN7" s="541">
        <v>37</v>
      </c>
      <c r="AO7" s="541">
        <v>38</v>
      </c>
      <c r="AP7" s="541">
        <v>39</v>
      </c>
      <c r="AQ7" s="541">
        <v>40</v>
      </c>
      <c r="AR7" s="541">
        <v>41</v>
      </c>
      <c r="AS7" s="541">
        <v>42</v>
      </c>
      <c r="AT7" s="541">
        <v>43</v>
      </c>
      <c r="AU7" s="541">
        <v>44</v>
      </c>
      <c r="AV7" s="541">
        <v>45</v>
      </c>
      <c r="AW7" s="541">
        <v>46</v>
      </c>
      <c r="AX7" s="541">
        <v>47</v>
      </c>
      <c r="AY7" s="541">
        <v>48</v>
      </c>
      <c r="AZ7" s="541">
        <v>49</v>
      </c>
      <c r="BA7" s="604">
        <v>50</v>
      </c>
      <c r="BB7" s="604">
        <v>51</v>
      </c>
      <c r="BC7" s="604">
        <v>52</v>
      </c>
      <c r="BD7" s="604">
        <v>53</v>
      </c>
      <c r="BE7" s="604">
        <v>54</v>
      </c>
      <c r="BF7" s="604">
        <v>55</v>
      </c>
      <c r="BG7" s="604">
        <v>56</v>
      </c>
      <c r="BH7" s="604">
        <v>57</v>
      </c>
      <c r="BI7" s="604">
        <v>58</v>
      </c>
      <c r="BJ7" s="604">
        <v>59</v>
      </c>
      <c r="BK7" s="604">
        <v>60</v>
      </c>
      <c r="BL7" s="604">
        <v>61</v>
      </c>
      <c r="BM7" s="604">
        <v>62</v>
      </c>
      <c r="BN7" s="604">
        <v>63</v>
      </c>
      <c r="BO7" s="604">
        <v>64</v>
      </c>
      <c r="BP7" s="604">
        <v>65</v>
      </c>
      <c r="BQ7" s="604">
        <v>66</v>
      </c>
      <c r="BR7" s="604">
        <v>67</v>
      </c>
      <c r="BS7" s="604">
        <v>68</v>
      </c>
    </row>
    <row r="8" spans="2:72" ht="12.75" customHeight="1" x14ac:dyDescent="0.25">
      <c r="B8" s="1049" t="s">
        <v>440</v>
      </c>
      <c r="C8" s="1050" t="s">
        <v>441</v>
      </c>
      <c r="D8" s="1050" t="s">
        <v>442</v>
      </c>
      <c r="E8" s="1050" t="s">
        <v>443</v>
      </c>
      <c r="F8" s="1050" t="s">
        <v>444</v>
      </c>
      <c r="G8" s="1050" t="s">
        <v>445</v>
      </c>
      <c r="H8" s="1050" t="s">
        <v>446</v>
      </c>
      <c r="I8" s="1050" t="s">
        <v>447</v>
      </c>
      <c r="J8" s="1050" t="s">
        <v>448</v>
      </c>
      <c r="K8" s="1050" t="s">
        <v>449</v>
      </c>
      <c r="L8" s="1050" t="s">
        <v>450</v>
      </c>
      <c r="M8" s="1050" t="s">
        <v>451</v>
      </c>
      <c r="N8" s="1050" t="s">
        <v>452</v>
      </c>
      <c r="O8" s="1050" t="s">
        <v>453</v>
      </c>
      <c r="P8" s="1050" t="s">
        <v>454</v>
      </c>
      <c r="Q8" s="1050" t="s">
        <v>455</v>
      </c>
      <c r="R8" s="1050" t="s">
        <v>456</v>
      </c>
      <c r="S8" s="1050" t="s">
        <v>457</v>
      </c>
      <c r="T8" s="1050" t="s">
        <v>455</v>
      </c>
      <c r="U8" s="1050" t="s">
        <v>456</v>
      </c>
      <c r="V8" s="1050" t="s">
        <v>457</v>
      </c>
      <c r="W8" s="1050" t="s">
        <v>458</v>
      </c>
      <c r="X8" s="1050" t="s">
        <v>459</v>
      </c>
      <c r="Y8" s="1050" t="s">
        <v>460</v>
      </c>
      <c r="Z8" s="1050" t="s">
        <v>461</v>
      </c>
      <c r="AA8" s="1050" t="s">
        <v>462</v>
      </c>
      <c r="AB8" s="1050" t="s">
        <v>463</v>
      </c>
      <c r="AC8" s="1050" t="s">
        <v>464</v>
      </c>
      <c r="AD8" s="1050" t="s">
        <v>465</v>
      </c>
      <c r="AE8" s="1050" t="s">
        <v>466</v>
      </c>
      <c r="AF8" s="1050" t="s">
        <v>467</v>
      </c>
      <c r="AG8" s="1050" t="s">
        <v>468</v>
      </c>
      <c r="AH8" s="1051" t="s">
        <v>469</v>
      </c>
      <c r="AI8" s="1052" t="s">
        <v>470</v>
      </c>
      <c r="AJ8" s="1052" t="s">
        <v>471</v>
      </c>
      <c r="AK8" s="1052" t="s">
        <v>472</v>
      </c>
      <c r="AL8" s="1052" t="s">
        <v>473</v>
      </c>
      <c r="AM8" s="1052" t="s">
        <v>474</v>
      </c>
      <c r="AN8" s="1052" t="s">
        <v>475</v>
      </c>
      <c r="AO8" s="1052" t="s">
        <v>476</v>
      </c>
      <c r="AP8" s="1052" t="s">
        <v>477</v>
      </c>
      <c r="AQ8" s="1052" t="s">
        <v>478</v>
      </c>
      <c r="AR8" s="1052" t="s">
        <v>479</v>
      </c>
      <c r="AS8" s="1052" t="s">
        <v>480</v>
      </c>
      <c r="AT8" s="1052" t="s">
        <v>481</v>
      </c>
      <c r="AU8" s="1052" t="s">
        <v>482</v>
      </c>
      <c r="AV8" s="1052" t="s">
        <v>483</v>
      </c>
      <c r="AW8" s="1052" t="s">
        <v>484</v>
      </c>
      <c r="AX8" s="1052" t="s">
        <v>485</v>
      </c>
      <c r="AY8" s="1052" t="s">
        <v>486</v>
      </c>
      <c r="AZ8" s="1052" t="s">
        <v>487</v>
      </c>
      <c r="BA8" s="1053" t="s">
        <v>488</v>
      </c>
      <c r="BB8" s="1053" t="s">
        <v>489</v>
      </c>
      <c r="BC8" s="1053" t="s">
        <v>490</v>
      </c>
      <c r="BD8" s="1053" t="s">
        <v>491</v>
      </c>
      <c r="BE8" s="1053" t="s">
        <v>492</v>
      </c>
      <c r="BF8" s="1053" t="s">
        <v>493</v>
      </c>
      <c r="BG8" s="1053" t="s">
        <v>494</v>
      </c>
      <c r="BH8" s="1053" t="s">
        <v>495</v>
      </c>
      <c r="BI8" s="1053" t="s">
        <v>496</v>
      </c>
      <c r="BJ8" s="1053" t="s">
        <v>497</v>
      </c>
      <c r="BK8" s="1053" t="s">
        <v>498</v>
      </c>
      <c r="BL8" s="1053" t="s">
        <v>499</v>
      </c>
      <c r="BM8" s="1053" t="s">
        <v>500</v>
      </c>
      <c r="BN8" s="1053" t="s">
        <v>501</v>
      </c>
      <c r="BO8" s="1053" t="s">
        <v>502</v>
      </c>
      <c r="BP8" s="1053" t="s">
        <v>503</v>
      </c>
      <c r="BQ8" s="1053" t="s">
        <v>504</v>
      </c>
      <c r="BR8" s="1053" t="s">
        <v>505</v>
      </c>
      <c r="BS8" s="1053" t="s">
        <v>506</v>
      </c>
      <c r="BT8" s="545"/>
    </row>
    <row r="9" spans="2:72" ht="17.25" customHeight="1" x14ac:dyDescent="0.25">
      <c r="B9" s="787"/>
      <c r="C9" s="1561" t="s">
        <v>0</v>
      </c>
      <c r="D9" s="1556" t="s">
        <v>507</v>
      </c>
      <c r="E9" s="1556" t="s">
        <v>508</v>
      </c>
      <c r="F9" s="1545" t="s">
        <v>509</v>
      </c>
      <c r="G9" s="1545" t="s">
        <v>510</v>
      </c>
      <c r="H9" s="1564" t="s">
        <v>511</v>
      </c>
      <c r="I9" s="1564"/>
      <c r="J9" s="1556" t="s">
        <v>512</v>
      </c>
      <c r="K9" s="1556"/>
      <c r="L9" s="1546" t="s">
        <v>513</v>
      </c>
      <c r="M9" s="1546" t="s">
        <v>514</v>
      </c>
      <c r="N9" s="1545" t="s">
        <v>515</v>
      </c>
      <c r="O9" s="1545" t="s">
        <v>516</v>
      </c>
      <c r="P9" s="1545" t="s">
        <v>517</v>
      </c>
      <c r="Q9" s="1552" t="s">
        <v>518</v>
      </c>
      <c r="R9" s="1552"/>
      <c r="S9" s="1545" t="s">
        <v>519</v>
      </c>
      <c r="T9" s="1548" t="s">
        <v>520</v>
      </c>
      <c r="U9" s="1548" t="s">
        <v>521</v>
      </c>
      <c r="V9" s="1548" t="s">
        <v>522</v>
      </c>
      <c r="W9" s="1538" t="s">
        <v>523</v>
      </c>
      <c r="X9" s="1557" t="s">
        <v>524</v>
      </c>
      <c r="Y9" s="1557"/>
      <c r="Z9" s="1557"/>
      <c r="AA9" s="1548" t="s">
        <v>525</v>
      </c>
      <c r="AB9" s="1548"/>
      <c r="AC9" s="1560" t="str">
        <f>"CAPACIDAD DE CORRIENTE
REAL DERRATEADA 
(# CONDUCTORES x FASE)x"&amp;W8&amp;"x"&amp;Z8&amp;"x"&amp;AB8&amp;""</f>
        <v>CAPACIDAD DE CORRIENTE
REAL DERRATEADA 
(# CONDUCTORES x FASE)xC18xC21xC23</v>
      </c>
      <c r="AD9" s="1543" t="s">
        <v>526</v>
      </c>
      <c r="AE9" s="1543" t="s">
        <v>527</v>
      </c>
      <c r="AF9" s="1543" t="s">
        <v>528</v>
      </c>
      <c r="AG9" s="1543" t="s">
        <v>529</v>
      </c>
      <c r="AH9" s="1596" t="s">
        <v>530</v>
      </c>
      <c r="AI9" s="1569" t="s">
        <v>531</v>
      </c>
      <c r="AJ9" s="1569" t="s">
        <v>532</v>
      </c>
      <c r="AK9" s="1569" t="s">
        <v>533</v>
      </c>
      <c r="AL9" s="1569" t="s">
        <v>534</v>
      </c>
      <c r="AM9" s="1569" t="s">
        <v>535</v>
      </c>
      <c r="AN9" s="1584" t="s">
        <v>536</v>
      </c>
      <c r="AO9" s="1585"/>
      <c r="AP9" s="1584" t="s">
        <v>537</v>
      </c>
      <c r="AQ9" s="1585"/>
      <c r="AR9" s="1569" t="s">
        <v>293</v>
      </c>
      <c r="AS9" s="1569" t="s">
        <v>538</v>
      </c>
      <c r="AT9" s="1569" t="s">
        <v>539</v>
      </c>
      <c r="AU9" s="1569" t="s">
        <v>540</v>
      </c>
      <c r="AV9" s="1569" t="s">
        <v>541</v>
      </c>
      <c r="AW9" s="1569" t="s">
        <v>542</v>
      </c>
      <c r="AX9" s="1569" t="s">
        <v>543</v>
      </c>
      <c r="AY9" s="1569" t="s">
        <v>544</v>
      </c>
      <c r="AZ9" s="1569" t="s">
        <v>545</v>
      </c>
      <c r="BA9" s="972"/>
      <c r="BB9" s="972"/>
      <c r="BC9" s="972"/>
      <c r="BD9" s="972"/>
      <c r="BE9" s="973"/>
      <c r="BF9" s="1579" t="s">
        <v>546</v>
      </c>
      <c r="BG9" s="1579"/>
      <c r="BH9" s="1622"/>
      <c r="BI9" s="1622"/>
      <c r="BJ9" s="1622"/>
      <c r="BK9" s="1622"/>
      <c r="BL9" s="1622"/>
      <c r="BM9" s="1622"/>
      <c r="BN9" s="1622"/>
      <c r="BO9" s="1622"/>
      <c r="BP9" s="1622"/>
      <c r="BQ9" s="1622"/>
      <c r="BR9" s="1622"/>
      <c r="BS9" s="975"/>
    </row>
    <row r="10" spans="2:72" ht="15" customHeight="1" x14ac:dyDescent="0.25">
      <c r="B10" s="787"/>
      <c r="C10" s="1561"/>
      <c r="D10" s="1556"/>
      <c r="E10" s="1556"/>
      <c r="F10" s="1545"/>
      <c r="G10" s="1545"/>
      <c r="H10" s="1564"/>
      <c r="I10" s="1564"/>
      <c r="J10" s="1556"/>
      <c r="K10" s="1556"/>
      <c r="L10" s="1546"/>
      <c r="M10" s="1546"/>
      <c r="N10" s="1545"/>
      <c r="O10" s="1545"/>
      <c r="P10" s="1545"/>
      <c r="Q10" s="1552"/>
      <c r="R10" s="1552"/>
      <c r="S10" s="1545"/>
      <c r="T10" s="1548"/>
      <c r="U10" s="1548"/>
      <c r="V10" s="1548"/>
      <c r="W10" s="1538"/>
      <c r="X10" s="1548" t="s">
        <v>547</v>
      </c>
      <c r="Y10" s="1538" t="s">
        <v>548</v>
      </c>
      <c r="Z10" s="1538" t="s">
        <v>549</v>
      </c>
      <c r="AA10" s="1548"/>
      <c r="AB10" s="1548"/>
      <c r="AC10" s="1560"/>
      <c r="AD10" s="1543"/>
      <c r="AE10" s="1543"/>
      <c r="AF10" s="1543"/>
      <c r="AG10" s="1543"/>
      <c r="AH10" s="1597"/>
      <c r="AI10" s="1570"/>
      <c r="AJ10" s="1570"/>
      <c r="AK10" s="1570"/>
      <c r="AL10" s="1570"/>
      <c r="AM10" s="1570"/>
      <c r="AN10" s="1604"/>
      <c r="AO10" s="1605"/>
      <c r="AP10" s="1586"/>
      <c r="AQ10" s="1587"/>
      <c r="AR10" s="1570"/>
      <c r="AS10" s="1570"/>
      <c r="AT10" s="1570"/>
      <c r="AU10" s="1570"/>
      <c r="AV10" s="1570"/>
      <c r="AW10" s="1570"/>
      <c r="AX10" s="1570"/>
      <c r="AY10" s="1570"/>
      <c r="AZ10" s="1570"/>
      <c r="BA10" s="976"/>
      <c r="BB10" s="976"/>
      <c r="BC10" s="976"/>
      <c r="BD10" s="976"/>
      <c r="BE10" s="977"/>
      <c r="BF10" s="974" t="s">
        <v>550</v>
      </c>
      <c r="BG10" s="974" t="s">
        <v>551</v>
      </c>
      <c r="BH10" s="1622"/>
      <c r="BI10" s="1622"/>
      <c r="BJ10" s="1622"/>
      <c r="BK10" s="1622"/>
      <c r="BL10" s="1622"/>
      <c r="BM10" s="1622"/>
      <c r="BN10" s="1622"/>
      <c r="BO10" s="1622"/>
      <c r="BP10" s="1622"/>
      <c r="BQ10" s="1622"/>
      <c r="BR10" s="1622"/>
      <c r="BS10" s="975"/>
    </row>
    <row r="11" spans="2:72" ht="33" customHeight="1" x14ac:dyDescent="0.25">
      <c r="B11" s="787"/>
      <c r="C11" s="1561"/>
      <c r="D11" s="1556"/>
      <c r="E11" s="1556"/>
      <c r="F11" s="1545"/>
      <c r="G11" s="1545"/>
      <c r="H11" s="1564"/>
      <c r="I11" s="1564"/>
      <c r="J11" s="1545" t="s">
        <v>552</v>
      </c>
      <c r="K11" s="1545" t="s">
        <v>553</v>
      </c>
      <c r="L11" s="1546"/>
      <c r="M11" s="1546"/>
      <c r="N11" s="1545"/>
      <c r="O11" s="1545"/>
      <c r="P11" s="1545"/>
      <c r="Q11" s="1551" t="s">
        <v>554</v>
      </c>
      <c r="R11" s="1551" t="s">
        <v>555</v>
      </c>
      <c r="S11" s="1545"/>
      <c r="T11" s="1548"/>
      <c r="U11" s="1548"/>
      <c r="V11" s="1548"/>
      <c r="W11" s="1538"/>
      <c r="X11" s="1548"/>
      <c r="Y11" s="1538"/>
      <c r="Z11" s="1538"/>
      <c r="AA11" s="1548"/>
      <c r="AB11" s="1548"/>
      <c r="AC11" s="1560"/>
      <c r="AD11" s="1543"/>
      <c r="AE11" s="1543"/>
      <c r="AF11" s="1543"/>
      <c r="AG11" s="1543"/>
      <c r="AH11" s="1597"/>
      <c r="AI11" s="1570"/>
      <c r="AJ11" s="1570"/>
      <c r="AK11" s="1570"/>
      <c r="AL11" s="1570"/>
      <c r="AM11" s="1570"/>
      <c r="AN11" s="1599" t="s">
        <v>556</v>
      </c>
      <c r="AO11" s="1600"/>
      <c r="AP11" s="1599" t="s">
        <v>557</v>
      </c>
      <c r="AQ11" s="1600"/>
      <c r="AR11" s="1570"/>
      <c r="AS11" s="1570"/>
      <c r="AT11" s="1570"/>
      <c r="AU11" s="1570"/>
      <c r="AV11" s="1570"/>
      <c r="AW11" s="1570"/>
      <c r="AX11" s="1570"/>
      <c r="AY11" s="1570"/>
      <c r="AZ11" s="1570"/>
      <c r="BA11" s="1577" t="s">
        <v>558</v>
      </c>
      <c r="BB11" s="1577" t="s">
        <v>559</v>
      </c>
      <c r="BC11" s="1577" t="s">
        <v>560</v>
      </c>
      <c r="BD11" s="1577" t="s">
        <v>561</v>
      </c>
      <c r="BE11" s="1577" t="s">
        <v>562</v>
      </c>
      <c r="BF11" s="1612" t="s">
        <v>563</v>
      </c>
      <c r="BG11" s="978" t="s">
        <v>564</v>
      </c>
      <c r="BH11" s="1625" t="s">
        <v>565</v>
      </c>
      <c r="BI11" s="979" t="s">
        <v>566</v>
      </c>
      <c r="BJ11" s="1610" t="s">
        <v>567</v>
      </c>
      <c r="BK11" s="1579" t="s">
        <v>549</v>
      </c>
      <c r="BL11" s="1579"/>
      <c r="BM11" s="1579"/>
      <c r="BN11" s="1572" t="s">
        <v>568</v>
      </c>
      <c r="BO11" s="1572" t="s">
        <v>569</v>
      </c>
      <c r="BP11" s="1572" t="s">
        <v>569</v>
      </c>
      <c r="BQ11" s="1572" t="s">
        <v>570</v>
      </c>
      <c r="BR11" s="1572" t="s">
        <v>570</v>
      </c>
      <c r="BS11" s="1572" t="s">
        <v>571</v>
      </c>
    </row>
    <row r="12" spans="2:72" ht="39.6" customHeight="1" x14ac:dyDescent="0.25">
      <c r="B12" s="787"/>
      <c r="C12" s="1561"/>
      <c r="D12" s="1556"/>
      <c r="E12" s="1556"/>
      <c r="F12" s="1545"/>
      <c r="G12" s="1545"/>
      <c r="H12" s="1564"/>
      <c r="I12" s="1564"/>
      <c r="J12" s="1545"/>
      <c r="K12" s="1545"/>
      <c r="L12" s="1546"/>
      <c r="M12" s="1546"/>
      <c r="N12" s="1545"/>
      <c r="O12" s="1545"/>
      <c r="P12" s="1545"/>
      <c r="Q12" s="1551"/>
      <c r="R12" s="1551"/>
      <c r="S12" s="1545"/>
      <c r="T12" s="1548"/>
      <c r="U12" s="1548"/>
      <c r="V12" s="1548"/>
      <c r="W12" s="1538"/>
      <c r="X12" s="1548"/>
      <c r="Y12" s="1538"/>
      <c r="Z12" s="1538"/>
      <c r="AA12" s="1566" t="s">
        <v>572</v>
      </c>
      <c r="AB12" s="1538" t="s">
        <v>549</v>
      </c>
      <c r="AC12" s="1560"/>
      <c r="AD12" s="1543"/>
      <c r="AE12" s="1543"/>
      <c r="AF12" s="1543"/>
      <c r="AG12" s="1543"/>
      <c r="AH12" s="1597"/>
      <c r="AI12" s="1570"/>
      <c r="AJ12" s="1570"/>
      <c r="AK12" s="1570"/>
      <c r="AL12" s="1570"/>
      <c r="AM12" s="1570"/>
      <c r="AN12" s="1601"/>
      <c r="AO12" s="1602"/>
      <c r="AP12" s="1601"/>
      <c r="AQ12" s="1602"/>
      <c r="AR12" s="1570"/>
      <c r="AS12" s="1570"/>
      <c r="AT12" s="1570"/>
      <c r="AU12" s="1570"/>
      <c r="AV12" s="1570"/>
      <c r="AW12" s="1570"/>
      <c r="AX12" s="1570"/>
      <c r="AY12" s="1570"/>
      <c r="AZ12" s="1570"/>
      <c r="BA12" s="1611"/>
      <c r="BB12" s="1611"/>
      <c r="BC12" s="1611"/>
      <c r="BD12" s="1611"/>
      <c r="BE12" s="1611"/>
      <c r="BF12" s="1613"/>
      <c r="BG12" s="980">
        <v>0.03</v>
      </c>
      <c r="BH12" s="1626"/>
      <c r="BI12" s="1619" t="s">
        <v>573</v>
      </c>
      <c r="BJ12" s="1610"/>
      <c r="BK12" s="1579"/>
      <c r="BL12" s="1579"/>
      <c r="BM12" s="1579"/>
      <c r="BN12" s="1573"/>
      <c r="BO12" s="1573"/>
      <c r="BP12" s="1573"/>
      <c r="BQ12" s="1573"/>
      <c r="BR12" s="1573"/>
      <c r="BS12" s="1573"/>
    </row>
    <row r="13" spans="2:72" ht="39" customHeight="1" x14ac:dyDescent="0.25">
      <c r="B13" s="787"/>
      <c r="C13" s="1561"/>
      <c r="D13" s="1556"/>
      <c r="E13" s="1556"/>
      <c r="F13" s="1545"/>
      <c r="G13" s="1545"/>
      <c r="H13" s="1564"/>
      <c r="I13" s="1564"/>
      <c r="J13" s="1545"/>
      <c r="K13" s="1545"/>
      <c r="L13" s="1546"/>
      <c r="M13" s="1546"/>
      <c r="N13" s="1545"/>
      <c r="O13" s="1545"/>
      <c r="P13" s="1545"/>
      <c r="Q13" s="1551"/>
      <c r="R13" s="1551"/>
      <c r="S13" s="1545"/>
      <c r="T13" s="1548"/>
      <c r="U13" s="1548"/>
      <c r="V13" s="1548"/>
      <c r="W13" s="1538"/>
      <c r="X13" s="1548"/>
      <c r="Y13" s="1538"/>
      <c r="Z13" s="1538"/>
      <c r="AA13" s="1566"/>
      <c r="AB13" s="1538"/>
      <c r="AC13" s="1560"/>
      <c r="AD13" s="1543"/>
      <c r="AE13" s="1543"/>
      <c r="AF13" s="1543"/>
      <c r="AG13" s="1543"/>
      <c r="AH13" s="1597"/>
      <c r="AI13" s="1570"/>
      <c r="AJ13" s="1570"/>
      <c r="AK13" s="1570"/>
      <c r="AL13" s="1570"/>
      <c r="AM13" s="1570"/>
      <c r="AN13" s="1594" t="s">
        <v>574</v>
      </c>
      <c r="AO13" s="1592" t="s">
        <v>575</v>
      </c>
      <c r="AP13" s="1588" t="s">
        <v>576</v>
      </c>
      <c r="AQ13" s="1590" t="s">
        <v>577</v>
      </c>
      <c r="AR13" s="1570"/>
      <c r="AS13" s="1570"/>
      <c r="AT13" s="1570"/>
      <c r="AU13" s="1570"/>
      <c r="AV13" s="1570"/>
      <c r="AW13" s="1570"/>
      <c r="AX13" s="1570"/>
      <c r="AY13" s="1570"/>
      <c r="AZ13" s="1570"/>
      <c r="BA13" s="1611"/>
      <c r="BB13" s="1611"/>
      <c r="BC13" s="1611"/>
      <c r="BD13" s="1611"/>
      <c r="BE13" s="1611"/>
      <c r="BF13" s="1613"/>
      <c r="BG13" s="1614" t="s">
        <v>578</v>
      </c>
      <c r="BH13" s="1626"/>
      <c r="BI13" s="1620"/>
      <c r="BJ13" s="1575" t="s">
        <v>579</v>
      </c>
      <c r="BK13" s="1577" t="s">
        <v>536</v>
      </c>
      <c r="BL13" s="1577" t="s">
        <v>580</v>
      </c>
      <c r="BM13" s="1577" t="s">
        <v>581</v>
      </c>
      <c r="BN13" s="1573"/>
      <c r="BO13" s="1573"/>
      <c r="BP13" s="1573"/>
      <c r="BQ13" s="1573"/>
      <c r="BR13" s="1573"/>
      <c r="BS13" s="1574"/>
    </row>
    <row r="14" spans="2:72" ht="23.25" customHeight="1" thickBot="1" x14ac:dyDescent="0.3">
      <c r="B14" s="810">
        <f>+COUNTIF($BS$15:BS266,2)</f>
        <v>1</v>
      </c>
      <c r="C14" s="1562"/>
      <c r="D14" s="1563"/>
      <c r="E14" s="1563"/>
      <c r="F14" s="1550"/>
      <c r="G14" s="981" t="s">
        <v>582</v>
      </c>
      <c r="H14" s="1565"/>
      <c r="I14" s="1565"/>
      <c r="J14" s="981" t="s">
        <v>583</v>
      </c>
      <c r="K14" s="1550"/>
      <c r="L14" s="1547"/>
      <c r="M14" s="1547"/>
      <c r="N14" s="981" t="s">
        <v>584</v>
      </c>
      <c r="O14" s="981" t="s">
        <v>584</v>
      </c>
      <c r="P14" s="981" t="s">
        <v>584</v>
      </c>
      <c r="Q14" s="982" t="s">
        <v>584</v>
      </c>
      <c r="R14" s="982" t="s">
        <v>584</v>
      </c>
      <c r="S14" s="1550"/>
      <c r="T14" s="1549"/>
      <c r="U14" s="1549"/>
      <c r="V14" s="1549"/>
      <c r="W14" s="982" t="s">
        <v>584</v>
      </c>
      <c r="X14" s="1549"/>
      <c r="Y14" s="1539"/>
      <c r="Z14" s="1539"/>
      <c r="AA14" s="1567"/>
      <c r="AB14" s="1539"/>
      <c r="AC14" s="982" t="s">
        <v>584</v>
      </c>
      <c r="AD14" s="983">
        <v>0.03</v>
      </c>
      <c r="AE14" s="983">
        <v>0.03</v>
      </c>
      <c r="AF14" s="1544"/>
      <c r="AG14" s="982" t="s">
        <v>585</v>
      </c>
      <c r="AH14" s="1598"/>
      <c r="AI14" s="1571"/>
      <c r="AJ14" s="1571"/>
      <c r="AK14" s="1571"/>
      <c r="AL14" s="1571"/>
      <c r="AM14" s="1571"/>
      <c r="AN14" s="1595"/>
      <c r="AO14" s="1593"/>
      <c r="AP14" s="1589"/>
      <c r="AQ14" s="1591"/>
      <c r="AR14" s="1571"/>
      <c r="AS14" s="984" t="s">
        <v>586</v>
      </c>
      <c r="AT14" s="1571"/>
      <c r="AU14" s="1571"/>
      <c r="AV14" s="1571"/>
      <c r="AW14" s="1571"/>
      <c r="AX14" s="1571"/>
      <c r="AY14" s="1571"/>
      <c r="AZ14" s="1571"/>
      <c r="BA14" s="1578"/>
      <c r="BB14" s="1578"/>
      <c r="BC14" s="1578"/>
      <c r="BD14" s="1578"/>
      <c r="BE14" s="1578"/>
      <c r="BF14" s="1613"/>
      <c r="BG14" s="1615"/>
      <c r="BH14" s="1627"/>
      <c r="BI14" s="1621"/>
      <c r="BJ14" s="1576"/>
      <c r="BK14" s="1578"/>
      <c r="BL14" s="1578"/>
      <c r="BM14" s="1578"/>
      <c r="BN14" s="1574"/>
      <c r="BO14" s="1574"/>
      <c r="BP14" s="1574"/>
      <c r="BQ14" s="1574"/>
      <c r="BR14" s="1574"/>
      <c r="BS14" s="985" t="s">
        <v>587</v>
      </c>
    </row>
    <row r="15" spans="2:72" ht="24.75" customHeight="1" thickBot="1" x14ac:dyDescent="0.3">
      <c r="B15" s="338">
        <f>+IF(OR(BS15=0,BS15=1),0,COUNTIF(BS$15:BS15,BS15))</f>
        <v>0</v>
      </c>
      <c r="C15" s="986">
        <v>1</v>
      </c>
      <c r="D15" s="1559" t="s">
        <v>588</v>
      </c>
      <c r="E15" s="1559"/>
      <c r="F15" s="1559"/>
      <c r="G15" s="1559"/>
      <c r="H15" s="1559"/>
      <c r="I15" s="1559"/>
      <c r="J15" s="1559"/>
      <c r="K15" s="1559"/>
      <c r="L15" s="1559"/>
      <c r="M15" s="1559"/>
      <c r="N15" s="1559"/>
      <c r="O15" s="1559"/>
      <c r="P15" s="1559"/>
      <c r="Q15" s="1559"/>
      <c r="R15" s="1559"/>
      <c r="S15" s="1559"/>
      <c r="T15" s="1559"/>
      <c r="U15" s="1559"/>
      <c r="V15" s="1559"/>
      <c r="W15" s="1559"/>
      <c r="X15" s="1559"/>
      <c r="Y15" s="1559"/>
      <c r="Z15" s="1559"/>
      <c r="AA15" s="1559"/>
      <c r="AB15" s="1559"/>
      <c r="AC15" s="1559"/>
      <c r="AD15" s="1559"/>
      <c r="AE15" s="1559"/>
      <c r="AF15" s="1559"/>
      <c r="AG15" s="1559"/>
      <c r="AH15" s="987"/>
      <c r="AI15" s="988"/>
      <c r="AJ15" s="988"/>
      <c r="AK15" s="988"/>
      <c r="AL15" s="988"/>
      <c r="AM15" s="988"/>
      <c r="AN15" s="988"/>
      <c r="AO15" s="988"/>
      <c r="AP15" s="988"/>
      <c r="AQ15" s="988"/>
      <c r="AR15" s="988"/>
      <c r="AS15" s="988"/>
      <c r="AT15" s="989"/>
      <c r="AU15" s="989"/>
      <c r="AV15" s="989"/>
      <c r="AW15" s="989"/>
      <c r="AX15" s="989"/>
      <c r="AY15" s="989"/>
      <c r="AZ15" s="989"/>
      <c r="BA15" s="990"/>
      <c r="BB15" s="990"/>
      <c r="BC15" s="990"/>
      <c r="BD15" s="990"/>
      <c r="BE15" s="990"/>
      <c r="BF15" s="990"/>
      <c r="BG15" s="990"/>
      <c r="BH15" s="991"/>
      <c r="BI15" s="992"/>
      <c r="BJ15" s="992"/>
      <c r="BK15" s="992"/>
      <c r="BL15" s="992"/>
      <c r="BM15" s="992"/>
      <c r="BN15" s="992"/>
      <c r="BO15" s="992"/>
      <c r="BP15" s="992"/>
      <c r="BQ15" s="993"/>
      <c r="BR15" s="993"/>
      <c r="BS15" s="994">
        <f t="shared" ref="BS15:BS18" si="0">LEN(C15)-LEN(SUBSTITUTE(C15,IF(ISNUMBER(FIND(".",C15)),".",","),""))</f>
        <v>0</v>
      </c>
    </row>
    <row r="16" spans="2:72" ht="22.5" customHeight="1" thickBot="1" x14ac:dyDescent="0.3">
      <c r="B16" s="338">
        <f>+IF(OR(BS16=0,BS16=1),0,COUNTIF(BS$15:BS16,BS16))</f>
        <v>0</v>
      </c>
      <c r="C16" s="1558"/>
      <c r="D16" s="1558"/>
      <c r="E16" s="1558"/>
      <c r="F16" s="1558"/>
      <c r="G16" s="1558"/>
      <c r="H16" s="1558"/>
      <c r="I16" s="1558"/>
      <c r="J16" s="1558"/>
      <c r="K16" s="1558"/>
      <c r="L16" s="1558"/>
      <c r="M16" s="1558"/>
      <c r="N16" s="1558"/>
      <c r="O16" s="1558"/>
      <c r="P16" s="1558"/>
      <c r="Q16" s="1558"/>
      <c r="R16" s="1558"/>
      <c r="S16" s="1558"/>
      <c r="T16" s="1558"/>
      <c r="U16" s="1558"/>
      <c r="V16" s="1558"/>
      <c r="W16" s="1558"/>
      <c r="X16" s="1558"/>
      <c r="Y16" s="1558"/>
      <c r="Z16" s="1558"/>
      <c r="AA16" s="1558"/>
      <c r="AB16" s="1558"/>
      <c r="AC16" s="1558"/>
      <c r="AD16" s="1558"/>
      <c r="AE16" s="1558"/>
      <c r="AF16" s="1558"/>
      <c r="AG16" s="1558"/>
      <c r="AH16" s="889"/>
      <c r="AI16" s="890"/>
      <c r="AJ16" s="890"/>
      <c r="AK16" s="890"/>
      <c r="AL16" s="890"/>
      <c r="AM16" s="890"/>
      <c r="AN16" s="890"/>
      <c r="AO16" s="890"/>
      <c r="AP16" s="890"/>
      <c r="AQ16" s="890"/>
      <c r="AR16" s="890"/>
      <c r="AS16" s="890"/>
      <c r="AT16" s="890" t="s">
        <v>589</v>
      </c>
      <c r="AU16" s="890"/>
      <c r="AV16" s="1623" t="s">
        <v>590</v>
      </c>
      <c r="AW16" s="1624"/>
      <c r="AX16" s="893" t="s">
        <v>591</v>
      </c>
      <c r="AY16" s="894"/>
      <c r="AZ16" s="894"/>
      <c r="BA16" s="895"/>
      <c r="BB16" s="895"/>
      <c r="BC16" s="895"/>
      <c r="BD16" s="895"/>
      <c r="BE16" s="895"/>
      <c r="BF16" s="895"/>
      <c r="BG16" s="895"/>
      <c r="BH16" s="1616"/>
      <c r="BI16" s="1617"/>
      <c r="BJ16" s="1618"/>
      <c r="BK16" s="1606"/>
      <c r="BL16" s="1607"/>
      <c r="BM16" s="1608"/>
      <c r="BN16" s="891"/>
      <c r="BO16" s="891"/>
      <c r="BP16" s="891"/>
      <c r="BQ16" s="891"/>
      <c r="BR16" s="891"/>
      <c r="BS16" s="892">
        <f t="shared" si="0"/>
        <v>0</v>
      </c>
    </row>
    <row r="17" spans="2:72" ht="20.25" customHeight="1" thickBot="1" x14ac:dyDescent="0.3">
      <c r="B17" s="338">
        <f>+IF(OR(BS17=0,BS17=1),0,COUNTIF(BS$15:BS17,BS17))</f>
        <v>0</v>
      </c>
      <c r="C17" s="995" t="s">
        <v>592</v>
      </c>
      <c r="D17" s="1555" t="s">
        <v>593</v>
      </c>
      <c r="E17" s="1555"/>
      <c r="F17" s="1555"/>
      <c r="G17" s="1555"/>
      <c r="H17" s="1555"/>
      <c r="I17" s="1555"/>
      <c r="J17" s="1555"/>
      <c r="K17" s="1555"/>
      <c r="L17" s="1555"/>
      <c r="M17" s="1555"/>
      <c r="N17" s="1555"/>
      <c r="O17" s="1555"/>
      <c r="P17" s="1555"/>
      <c r="Q17" s="1555"/>
      <c r="R17" s="1555"/>
      <c r="S17" s="1555"/>
      <c r="T17" s="1555"/>
      <c r="U17" s="1555"/>
      <c r="V17" s="1555"/>
      <c r="W17" s="1555"/>
      <c r="X17" s="1555"/>
      <c r="Y17" s="1555"/>
      <c r="Z17" s="1555"/>
      <c r="AA17" s="1555"/>
      <c r="AB17" s="1555"/>
      <c r="AC17" s="1555"/>
      <c r="AD17" s="1555"/>
      <c r="AE17" s="1555"/>
      <c r="AF17" s="1555"/>
      <c r="AG17" s="1555"/>
      <c r="AH17" s="889"/>
      <c r="AI17" s="890"/>
      <c r="AJ17" s="890"/>
      <c r="AK17" s="890"/>
      <c r="AL17" s="890"/>
      <c r="AM17" s="890"/>
      <c r="AN17" s="890"/>
      <c r="AO17" s="890"/>
      <c r="AP17" s="890"/>
      <c r="AQ17" s="890"/>
      <c r="AR17" s="890"/>
      <c r="AS17" s="890"/>
      <c r="AT17" s="890"/>
      <c r="AU17" s="890"/>
      <c r="AV17" s="890"/>
      <c r="AW17" s="890"/>
      <c r="AX17" s="890"/>
      <c r="AY17" s="890"/>
      <c r="AZ17" s="890"/>
      <c r="BA17" s="895"/>
      <c r="BB17" s="895"/>
      <c r="BC17" s="895"/>
      <c r="BD17" s="895"/>
      <c r="BE17" s="895"/>
      <c r="BF17" s="895"/>
      <c r="BG17" s="895"/>
      <c r="BH17" s="1609"/>
      <c r="BI17" s="1609"/>
      <c r="BJ17" s="1609"/>
      <c r="BK17" s="1606"/>
      <c r="BL17" s="1607"/>
      <c r="BM17" s="1608"/>
      <c r="BN17" s="891"/>
      <c r="BO17" s="891"/>
      <c r="BP17" s="891"/>
      <c r="BQ17" s="891"/>
      <c r="BR17" s="891"/>
      <c r="BS17" s="892">
        <f t="shared" si="0"/>
        <v>1</v>
      </c>
    </row>
    <row r="18" spans="2:72" ht="26.4" x14ac:dyDescent="0.25">
      <c r="B18" s="338">
        <v>1</v>
      </c>
      <c r="C18" s="896" t="str">
        <f>+_xlfn.CONCAT("1.1.",SUBTOTAL(103,$D$18:D18))</f>
        <v>1.1.1</v>
      </c>
      <c r="D18" s="897" t="str">
        <f>+Longitudes!$C6</f>
        <v>SDT-8</v>
      </c>
      <c r="E18" s="897" t="s">
        <v>594</v>
      </c>
      <c r="F18" s="897" t="str">
        <f>+Longitudes!$B6</f>
        <v>LPB E0701</v>
      </c>
      <c r="G18" s="898">
        <v>4</v>
      </c>
      <c r="H18" s="898">
        <v>225</v>
      </c>
      <c r="I18" s="1037" t="s">
        <v>595</v>
      </c>
      <c r="J18" s="896">
        <v>34500</v>
      </c>
      <c r="K18" s="896">
        <v>3</v>
      </c>
      <c r="L18" s="899">
        <f>+'H1-CUADRO DE CARGAS'!$U$20</f>
        <v>0.80830156595608427</v>
      </c>
      <c r="M18" s="899">
        <v>0.98</v>
      </c>
      <c r="N18" s="1025">
        <f>IF(K18=1,IF(I18="HP",(H18*746)/(J18*L18),IF(I18="kVA",H18*1000/J18,"")),IF(K18=3,IF(I18="HP",(H18*746)/((SQRT(3))*(J18)*(M18)*(L18)),IF(I18="kVA",H18*1000/(SQRT(3)*J18),"")),IF(K18=2,IF(I18="HP",(H18*746)/(J18*L18),IF(I18="kVA",H18*1000/(J18),"")),"Rev.#Fases")))*SQRT(1+((AS18/100)^2))</f>
        <v>3.7700315643531801</v>
      </c>
      <c r="O18" s="1025">
        <f>+N18*1.25</f>
        <v>4.7125394554414752</v>
      </c>
      <c r="P18" s="1026" t="str">
        <f>IF(AR18="Motor",(IF($P$9="CORRIENTE DE ARRANQUE DIRECTO (MOTORES)",N18*8,IF($P$9="CORRIENTE DE ARRANCADOR SUAVE (MOTORES)",N18*6,IF($P$9="CORRIENTE DE ARRANQUE  Δ-Y (MOTORES)",N18*3,IF($P$9="CORRIENTE DE ARRANQUE CON VARIADOR (MOTORES)",N18*2,N18))))),"N/A")</f>
        <v>N/A</v>
      </c>
      <c r="Q18" s="1025">
        <f>IF(AR18="Trafo Primario",N18*2.5,"N/A")</f>
        <v>9.4250789108829505</v>
      </c>
      <c r="R18" s="1027">
        <v>25</v>
      </c>
      <c r="S18" s="899">
        <v>0.02</v>
      </c>
      <c r="T18" s="1028" t="str">
        <f>""&amp;IF(AL18="Al","ALUMINIO","COBRE")&amp;", "&amp;IF(AR18="Motor Alimentado de VFD","XLPE/PVC",AM18)&amp;", "&amp;IF(AJ18="Monopolar",IF(AND(J18&lt;=4160,J18&gt;1000),"5 kV, 133%, 90°C",IF(J18&lt;=1000,"600 V, 90°C",IF(AND(J18&lt;=13800,J18&gt;6300),"15 kV, 133%, 90°C","35 kV, 133%, 90°C"))),IF(AJ18="Desnudo","35 kV","5 kV, 121°C"))&amp;", "&amp;IF(AU18="NO",IF(AR18="Motor Alimentado de VFD","Cable de VFD",AJ18),CONCATENATE(AJ18," para fases. ",IF(AL18="Al","ALUMINIO","COBRE"),", XHHW-2, 600V, 90°C, Monopolar para tierra"))</f>
        <v>ALUMINIO, ACSR, 35 kV, Desnudo</v>
      </c>
      <c r="U18" s="1029" t="str">
        <f>IF(AR18="Motor Alimentado de VFD",(CONCATENATE(AI18,"x(",K18,"x",AH18," + 3Gx",VLOOKUP(AH18,'CONDCUTORES MT'!$B$20:$Y$28,24,FALSE),")")),(IF(AND(OR(J18=34500,J18&gt;1),AU18="No"),CONCATENATE(AI18,"x[",K18,"x(1x",AH18,")]",IF(AZ18="No","",CONCATENATE(" + ",AI18,"x(",AY18,"Nx",AZ18,")"))),IF(OR(AJ18="Monopolar",AJ18="Desnudo"),CONCATENATE(AI18,"x[",K18,"x(1x",AH18,")] + ",IF(AZ18="No","",CONCATENATE(AI18,"x(",AY18,"Nx",AZ18,") + ")),AI18,"x(",IF(AX18="No",1,AW18),"Gx",(IF(AL18="Al",IF(AX18="No",LOOKUP(R18,CONDUCTORES!$A$111:$A$131,CONDUCTORES!$C$111:$C$131),AX18),IF(AX18="No",LOOKUP(R18,CONDUCTORES!$A$111:$A$131,CONDUCTORES!$B$111:$B$131),AX18))),")"),CONCATENATE(AI18,"x[",K18,"x(1x",AH18,")]",(IF(AH18="2/0 AWG","  NOTA 15"," ")))))   )   )</f>
        <v>1x[3x(1x1/0 AWG)]</v>
      </c>
      <c r="V18" s="1029" t="str">
        <f>""&amp;IF(AI18=1,"",IF(AI18=2,"1/2-",IF(AI18=3,"1/2/3-",IF(AI18=4,"1/2/3/4-",IF(AI18=5,"1/2/3/4/5-",IF(AI18=6,"1/2/3/4/5/6-",IF(AI18=7,"1/2/3/4/5/6/7-",IF(AI18=8,"1/2/3/4/5/6/7/8-",IF(AI18=9,"1/2/3/4/5/6/7/8/9-","1/2/3/4/5/6/7/8/9/10-")))))))))&amp;""&amp;IF(MID(C18,1,1)="H","H",IF(MID(C18,1,3)="ILU","A","P"))&amp;"-"&amp;IF(OR(AND(AJ18="Monopolar",AU18="SI"),AND(AJ18="Multiconductor",AK18="4/C  -")),"06",IF(AND(OR(AJ18="Monopolar",AJ18="Cable Armado",AJ18="Desnudo"),AU18="No"),"05",IF(AND(AJ18="Multiconductor",AK18="3/C  -"),"04",IF(AND(AJ18="Multiconductor",AK18="2/C  -"),"02",))))&amp;"-"&amp;IF(AND(J18&gt;480,J18&lt;=4160),"07",VLOOKUP(J18,'CODIFICACIÓN ECO'!$F$5:$G$19,2,FALSE))&amp;"-"&amp;D18&amp;""</f>
        <v>P-05-03-SDT-8</v>
      </c>
      <c r="W18" s="1030">
        <f>IF(AJ18="Desnudo",LOOKUP(BI18,'CONDCUTORES MT'!$A$7:$A$15,'CONDCUTORES MT'!$N$7:$N$15),(IF(AT18=1,(IF(AJ18="Cable Armado",(IF(AND(X18="BANDEJA",AL18="Cu",OR(AQ18=0,AQ18=1)),LOOKUP(BI18,'CONDCUTORES MT'!$A$83:$A$86,'CONDCUTORES MT'!$K$83:$K$86),IF(AND(OR(X18="BANCO DE DUCTOS",X18="TUBO"),AL18="Cu"),LOOKUP(BI18,'CONDCUTORES MT'!$A$83:$A$86,'CONDCUTORES MT'!$J$83:$J$86),IF(AND(X18="BANDEJA",AL18="Al",OR(AQ18=0,AQ18=1)),LOOKUP(BI18,'CONDCUTORES MT'!$A$83:$A$86,'CONDCUTORES MT'!$N$83:$N$86),IF(AND(OR(X18="BANCO DE DUCTOS",X18="TUBO"),AL18="Al"),LOOKUP(BI18,'CONDCUTORES MT'!$A$83:$A$86,'CONDCUTORES MT'!$M$83:$M$86),IF(AND(X18="BANDEJA",AL18="Cu",AQ18=2.15),LOOKUP(BI18,'CONDCUTORES MT'!$A$83:$A$86,'CONDCUTORES MT'!$L$83:$L$86),IF(AND(X18="BANDEJA",AL18="Al",AQ18=2.15),LOOKUP(BI18,'CONDCUTORES MT'!$A$83:$A$86,'CONDCUTORES MT'!$O$83:$O$86),""))))))),(IF(AND(X18="BANDEJA",AL18="Cu",OR(AQ18=0,AQ18=1)),LOOKUP(BI18,'CONDCUTORES MT'!$A$46:$A$54,'CONDCUTORES MT'!$K$46:$K$54),IF(AND(OR(X18="BANCO DE DUCTOS",X18="TUBO"),AL18="Cu"),LOOKUP(BI18,'CONDCUTORES MT'!$A$46:$A$54,'CONDCUTORES MT'!$J$46:$J$54),IF(AND(X18="BANDEJA",AL18="Al",OR(AQ18=0,AQ18=1)),LOOKUP(BI18,'CONDCUTORES MT'!$A$46:$A$54,'CONDCUTORES MT'!$N$46:$N$54),IF(AND(OR(X18="BANCO DE DUCTOS",X18="TUBO"),AL18="Al"),LOOKUP(BI18,'CONDCUTORES MT'!$A$46:$A$54,'CONDCUTORES MT'!$M$46:$M$54),IF(AND(X18="BANDEJA",AL18="Cu",AQ18=2.15),LOOKUP(BI18,'CONDCUTORES MT'!$A$46:$A$54,'CONDCUTORES MT'!$L$46:$L$54),IF(AND(X18="BANDEJA",AL18="Al",AQ18=2.15),LOOKUP(BI18,'CONDCUTORES MT'!$A$46:$A$54,'CONDCUTORES MT'!$O$46:$O$54),""))))))))),IF(OR(AT18=2,AT18=3),(IF(AJ18="Cable Armado",(IF(AND(X18="BANDEJA",AL18="Cu",OR(AQ18=0,AQ18=1)),LOOKUP(BI18,'CONDCUTORES MT'!$A$91:$A$94,'CONDCUTORES MT'!$K$91:$K$94),IF(AND(OR(X18="BANCO DE DUCTOS",X18="TUBO"),AL18="Cu"),LOOKUP(BI18,'CONDCUTORES MT'!$A$91:$A$94,'CONDCUTORES MT'!$J$91:$J$94),IF(AND(X18="BANDEJA",AL18="Al",OR(AQ18=0,AQ18=1)),LOOKUP(BI18,'CONDCUTORES MT'!$A$91:$A$94,'CONDCUTORES MT'!$N$91:$N$94),IF(AND(OR(X18="BANCO DE DUCTOS",X18="TUBO"),AL18="Al"),LOOKUP(BI18,'CONDCUTORES MT'!$A$91:$A$94,'CONDCUTORES MT'!$M$91:$M$94),IF(AND(X18="BANDEJA",AL18="Cu",AQ18=2.15),LOOKUP(BI18,'CONDCUTORES MT'!$A$91:$A$94,'CONDCUTORES MT'!$L$91:$L$94),IF(AND(X18="BANDEJA",AL18="Al",AQ18=2.15),LOOKUP(BI18,'CONDCUTORES MT'!$A$91:$A$94,'CONDCUTORES MT'!$O$91:$O$94),""))))))),(IF(AND(X18="BANDEJA",AL18="Cu",OR(AQ18=0,AQ18=1)),LOOKUP(BI18,'CONDCUTORES MT'!$A$46:$A$54,'CONDCUTORES MT'!$K$46:$K$54),IF(AND(OR(X18="BANCO DE DUCTOS",X18="TUBO"),AL18="Cu"),LOOKUP(BI18,'CONDCUTORES MT'!$A$46:$A$54,'CONDCUTORES MT'!$J$46:$J$54),IF(AND(X18="BANDEJA",AL18="Al",OR(AQ18=0,AQ18=1)),LOOKUP(BI18,'CONDCUTORES MT'!$A$46:$A$54,'CONDCUTORES MT'!$N$46:$N$54),IF(AND(OR(X18="BANCO DE DUCTOS",X18="TUBO"),AL18="Al"),LOOKUP(BI18,'CONDCUTORES MT'!$A$46:$A$54,'CONDCUTORES MT'!$M$46:$M$54),IF(AND(X18="BANDEJA",AL18="Cu",AQ18=2.15),LOOKUP(BI18,'CONDCUTORES MT'!$A$46:$A$54,'CONDCUTORES MT'!$L$46:$L$54),IF(AND(X18="BANDEJA",AL18="Al",AQ18=2.15),LOOKUP(BI18,'CONDCUTORES MT'!$A$46:$A$54,'CONDCUTORES MT'!$O$46:$O$54),""))))))))),IF(AT18&gt;=(3),(IF(AJ18="Cable Armado",(IF(AND(X18="BANDEJA",AL18="Cu",OR(AQ18=0,AQ18=1)),LOOKUP(BI18,'CONDCUTORES MT'!$A$99:$A$102,'CONDCUTORES MT'!$K$99:$K$102),IF(AND(OR(X18="BANCO DE DUCTOS",X18="TUBO"),AL18="Cu"),LOOKUP(BI18,'CONDCUTORES MT'!$A$99:$A$102,'CONDCUTORES MT'!$J$99:$J$102),IF(AND(X18="BANDEJA",AL18="Al",OR(AQ18=0,AQ18=1)),LOOKUP(BI18,'CONDCUTORES MT'!$A$99:$A$102,'CONDCUTORES MT'!$N$99:$N$102),IF(AND(OR(X18="BANCO DE DUCTOS",X18="TUBO"),AL18="Al"),LOOKUP(BI18,'CONDCUTORES MT'!$A$99:$A$102,'CONDCUTORES MT'!$M$99:$M$102),IF(AND(X18="BANDEJA",AL18="Cu",AQ18=2.15),LOOKUP(BI18,'CONDCUTORES MT'!$A$99:$A$102,'CONDCUTORES MT'!$L$99:$L$102),IF(AND(X18="BANDEJA",AL18="Al",AQ18=2.15),LOOKUP(BI18,'CONDCUTORES MT'!$A$99:$A$102,'CONDCUTORES MT'!$O$99:$O$102),""))))))),(IF(AND(X18="BANDEJA",AL18="Cu",OR(AQ18=0,AQ18=1)),LOOKUP(BI18,'CONDCUTORES MT'!$A$46:$A$54,'CONDCUTORES MT'!$K$46:$K$54),IF(AND(OR(X18="BANCO DE DUCTOS",X18="TUBO"),AL18="Cu"),LOOKUP(BI18,'CONDCUTORES MT'!$A$46:$A$54,'CONDCUTORES MT'!$J$46:$J$54),IF(AND(X18="BANDEJA",AL18="Al",OR(AQ18=0,AQ18=1)),LOOKUP(BI18,'CONDCUTORES MT'!$A$46:$A$54,'CONDCUTORES MT'!$N$46:$N$54),IF(AND(OR(X18="BANCO DE DUCTOS",X18="TUBO"),AL18="Al"),LOOKUP(BI18,'CONDCUTORES MT'!$A$46:$A$54,'CONDCUTORES MT'!$M$46:$M$54),IF(AND(X18="BANDEJA",AL18="Cu",AQ18=2.15),LOOKUP(BI18,'CONDCUTORES MT'!$A$46:$A$54,'CONDCUTORES MT'!$L$46:$L$54),IF(AND(X18="BANDEJA",AL18="Al",AQ18=2.15),LOOKUP(BI18,'CONDCUTORES MT'!$A$46:$A$54,'CONDCUTORES MT'!$O$46:$O$54),""))))))))))))))</f>
        <v>175</v>
      </c>
      <c r="X18" s="900" t="s">
        <v>649</v>
      </c>
      <c r="Y18" s="898">
        <v>3</v>
      </c>
      <c r="Z18" s="1031">
        <f>IF(X18="BANCO DE DUCTOS",BK18,IF(X18="BANDEJA",BL18,IF(X18="TUBO",BM18,1)))</f>
        <v>1</v>
      </c>
      <c r="AA18" s="1032" t="s">
        <v>597</v>
      </c>
      <c r="AB18" s="1033">
        <f>BQ18</f>
        <v>1.1000000000000001</v>
      </c>
      <c r="AC18" s="1034">
        <f>AI18*W18*AB18*Z18</f>
        <v>192.50000000000003</v>
      </c>
      <c r="AD18" s="1031">
        <f>(IF(OR(K18=2,K18=3),(SQRT(3)*N18*G18*(BC18*L18+SQRT(1-L18^2)*BD18)/(10*J18*AI18)),IF(K18=1,(2*N18*G18*(BC18*L18+SQRT(1-L18^2)*BD18)/(10*J18*AI18)))))*100</f>
        <v>1.2286111837507057E-3</v>
      </c>
      <c r="AE18" s="1031" t="e">
        <f>+AD18+SUMIF(#REF!,F18,#REF!)</f>
        <v>#REF!</v>
      </c>
      <c r="AF18" s="1035">
        <f>1/SQRT(1+POWER((AS18/100),2))</f>
        <v>0.99875233887784465</v>
      </c>
      <c r="AG18" s="1025">
        <f>SQRT((IF(AL18="Cu",0.0297,0.0125))*LOG10((150+(IF(AL18="Cu",234,228)))/(90+(IF(AL18="Cu",234,228))))/S18)*LOOKUP(BI18,CONDUCTORES!$A$9:$A$62,CONDUCTORES!$W$9:$W$62)</f>
        <v>1.4149298752448625</v>
      </c>
      <c r="AH18" s="901" t="s">
        <v>598</v>
      </c>
      <c r="AI18" s="902">
        <v>1</v>
      </c>
      <c r="AJ18" s="902" t="s">
        <v>1898</v>
      </c>
      <c r="AK18" s="902" t="s">
        <v>600</v>
      </c>
      <c r="AL18" s="903" t="s">
        <v>601</v>
      </c>
      <c r="AM18" s="903" t="s">
        <v>697</v>
      </c>
      <c r="AN18" s="902">
        <v>1</v>
      </c>
      <c r="AO18" s="902">
        <v>1</v>
      </c>
      <c r="AP18" s="902" t="s">
        <v>603</v>
      </c>
      <c r="AQ18" s="902">
        <v>0</v>
      </c>
      <c r="AR18" s="904" t="s">
        <v>604</v>
      </c>
      <c r="AS18" s="902">
        <v>5</v>
      </c>
      <c r="AT18" s="905">
        <v>1</v>
      </c>
      <c r="AU18" s="906" t="s">
        <v>605</v>
      </c>
      <c r="AV18" s="907">
        <f>IF(AJ18="Monopolar",((((J18/SQRT(3))/((((VLOOKUP(AH18,'CONDCUTORES MT'!$E$109:$G$123,IF(AL18="Al",2,3),FALSE))/(AI18))*(G18/1000))+(IF(AU18="No",0,(((IF(AL18="Cu",VLOOKUP(IF(AX18="No",(IF(AL18="Al",LOOKUP(AC18,CONDUCTORES!$A$111:$A$131,CONDUCTORES!$C$111:$C$131),LOOKUP(AC18,CONDUCTORES!$A$111:$A$131,CONDUCTORES!$B$111:$B$131))),AX18),'CONDCUTORES MT'!$E$109:$G$123,IF(AL18="Al",2,3),FALSE)))/IF(AX18="No",1,AW18))*(G18/1000))))))/1000)/(O18))*1000,100)</f>
        <v>100</v>
      </c>
      <c r="AW18" s="902">
        <v>1</v>
      </c>
      <c r="AX18" s="902" t="s">
        <v>605</v>
      </c>
      <c r="AY18" s="905">
        <v>1</v>
      </c>
      <c r="AZ18" s="902" t="s">
        <v>605</v>
      </c>
      <c r="BA18" s="908">
        <f>IF(BI18&lt;=6,LOOKUP(BI18,'CONDCUTORES MT'!$A$83:$A$86,'CONDCUTORES MT'!$D$83:$D$86),IF(BI18&gt;=16,LOOKUP(BI18,'CONDCUTORES MT'!$A$7:$A$15,'CONDCUTORES MT'!$D$7:$D$15),LOOKUP(BI18,'CONDCUTORES MT'!$A$46:$A$54,'CONDCUTORES MT'!$D$46:$D$54)))</f>
        <v>10.11</v>
      </c>
      <c r="BB18" s="908">
        <f>IF(BI18&lt;=6,LOOKUP(BI18,'CONDCUTORES MT'!$A$83:$A$86,'CONDCUTORES MT'!$P$83:$P$86),IF(BI18&gt;=16,LOOKUP(BI18,'CONDCUTORES MT'!$A$7:$A$15,'CONDCUTORES MT'!$P$7:$P$15),LOOKUP(BI18,'CONDCUTORES MT'!$A$46:$A$54,'CONDCUTORES MT'!$P$46:$P$54)))</f>
        <v>20</v>
      </c>
      <c r="BC18" s="909">
        <f>IF(BI18&lt;=6,IF(AL18="Cu",LOOKUP(BI18,'CONDCUTORES MT'!$A$83:$A$86,'CONDCUTORES MT'!$F$83:$F$86),IF(AL18="Al",LOOKUP(BI18,'CONDCUTORES MT'!$A$83:$A$86,'CONDCUTORES MT'!$H$83:$H$86),"Err Material")),IF(AL18="Cu",LOOKUP(BI18,'CONDCUTORES MT'!$A$46:$A$54,'CONDCUTORES MT'!$F$46:$F$54),IF(AL18="Al",LOOKUP(BI18,'CONDCUTORES MT'!$A$46:$A$54,'CONDCUTORES MT'!$H$46:$H$54),"Err Material")))</f>
        <v>8.605900000000001E-2</v>
      </c>
      <c r="BD18" s="909">
        <f>IF(BI18&lt;=6,LOOKUP(BI18,'CONDCUTORES MT'!$A$83:$A$86,'CONDCUTORES MT'!$G$83:$G$86),LOOKUP(BI18,'CONDCUTORES MT'!$A$46:$A$54,'CONDCUTORES MT'!$G$46:$G$54))</f>
        <v>0.15748031496062992</v>
      </c>
      <c r="BE18" s="910">
        <f>IF(BI18&lt;=6,AI18*W18,AI18*W18)</f>
        <v>175</v>
      </c>
      <c r="BF18" s="910" t="str">
        <f>IF(AC18&gt;BH18,Listas!C$2,Listas!C$3)</f>
        <v>Si</v>
      </c>
      <c r="BG18" s="910" t="str">
        <f>IF(AD18&lt;$BG$12*100,Listas!C$2,Listas!C$3)</f>
        <v>Si</v>
      </c>
      <c r="BH18" s="911">
        <f>IF(AR18="Generador",N18*1.15,N18*1.25)</f>
        <v>4.7125394554414752</v>
      </c>
      <c r="BI18" s="912">
        <f>IF(AJ18="Cable Armado",VLOOKUP(AH18,'CONDCUTORES MT'!$B$83:$Q$86,16,FALSE),IF(AJ18="Desnudo",VLOOKUP(AH18,'CONDCUTORES MT'!$B$7:$V$43,21,FALSE),VLOOKUP(AH18,'CONDCUTORES MT'!$B$20:$V$28,21,FALSE)))</f>
        <v>16</v>
      </c>
      <c r="BJ18" s="913">
        <f>BH18/AC18</f>
        <v>2.4480724443851815E-2</v>
      </c>
      <c r="BK18" s="914">
        <f>BN18</f>
        <v>1</v>
      </c>
      <c r="BL18" s="915">
        <f>IF(AND(AP18="CON TAPA",OR(AH18="12 AWG",AH18="10 AWG",AH18="8 AWG",AH18="6 AWG",AH18="4 AWG",AH18="2 AWG",AH18="1 AWG",AH18="1/0 AWG")),0.6,IF(AND(AP18="CON TAPA",OR(AH18="2/0 AWG",AH18="3/0 AWG",AH18="4/0 AWG",AH18="250 kcmil",AH18="350 kcmil",AH18="500 kcmil",AH18="750 kcmil",AH18="1000 kcmil")),0.7,IF(AND(AP18="SIN TAPA",OR(AH18="12 AWG",AH18="10 AWG",AH18="8 AWG",AH18="6 AWG",AH18="4 AWG",AH18="2 AWG",AH18="1 AWG",AH18="1/0 AWG"),AQ18=0),0.65,IF(AND(AP18="SIN TAPA",OR(AH18="2/0 AWG",AH18="3/0 AWG",AH18="4/0 AWG",AH18="250 kcmil",AH18="350 kcmil",AH18="500 kcmil",AH18="750 kcmil",AH18="1000 kcmil"),AQ18=0),0.75,IF(AND(AP18="SIN TAPA",OR(AQ18=1,AQ18=2.15)),1,"otro")))))</f>
        <v>0.65</v>
      </c>
      <c r="BM18" s="915">
        <f>IF(AND(Y18&lt;4,Y18&gt;=1),1,IF(AND(Y18&lt;=6,Y18&gt;=4),0.8,IF(AND(Y18&lt;=9,Y18&gt;=7),0.7,IF(AND(Y18&lt;=20,Y18&gt;=10),0.5,IF(AND(Y18&lt;=30,Y18&gt;=21),0.45,IF(AND(Y18&lt;=40,Y18&gt;=31),0.4,IF(Y18&gt;=41,0.35,"")))))))</f>
        <v>1</v>
      </c>
      <c r="BN18" s="916">
        <f>IF(AN18&gt;4,"# FILAS Fuera de rango",IF(AO18&gt;15,"#COLUMNAS Fuera de rango",IF(BI18=0,"CALIBRE CABLE CERO",IF(OR(BI18=1,BI18=16,BI18=17,BI18=18),INDEX('0-5000'!$D$4:$R$7,AN18,AO18),IF(OR(BI18=2,BI18=19,BI18=20,BI18=21),INDEX('0-5000'!$D$8:$R$11,AN18,AO18),IF(OR(BI18=3,BI18=22,BI18=23,BI18=24),INDEX('0-5000'!$D$12:$R$15,AN18,AO18),IF(OR(BI18=4,BI18=25,BI18=26,BI18=27),INDEX('0-5000'!$D$16:$R$19,AN18,AO18),BO18)))))))</f>
        <v>1</v>
      </c>
      <c r="BO18" s="917" t="str">
        <f>IF(OR(BI18=5,BI18=28,BI18=29,BI18=30),INDEX('0-5000'!$D$20:$R$23,AN18,AO18),IF(OR(BI18=6,BI18=31,BI18=32,BI18=33),INDEX('0-5000'!$D$24:$R$27,AN18,AO18),IF(OR(BI18=7,BI18=34,BI18=35,BI18=36),INDEX('0-5000'!$D$32:$R$35,AN18,AO18),IF(OR(BI18=8,BI18=37,BI18=38,BI18=39),INDEX('0-5000'!$D$36:$R$39,AN18,AO18),IF(OR(BI18=9,BI18=40,BI18=41,BI18=42),INDEX('0-5000'!$D$40:$R$43,AN18,AO18),IF(OR(BI18=10,BI18=43,BI18=44,BI18=45),INDEX('0-5000'!$D$44:$R$47,AN18,AO18),BP18))))))</f>
        <v># CABLE Fuera de Rango</v>
      </c>
      <c r="BP18" s="917" t="str">
        <f>IF(OR(BI18=11,BI18=46,BI18=47,BI18=48),INDEX('0-5000'!$D$48:$R$51,AN18,AO18),IF(OR(BI18=12,BI18=49,BI18=50,BI18=51),INDEX('0-5000'!$D$52:$R$55,AN18,AO18),IF(OR(BI18=13,BI18=52,BI18=53,BI18=54),INDEX('0-5000'!$D$56:$R$59,AN18,AO18),IF(BI18=14,INDEX('0-5000'!$D$60:$R$63,AN18,AO18),IF(BI18=15,INDEX('0-5000'!$D$64:$R$67,AN18,AO18),"# CABLE Fuera de Rango")))))</f>
        <v># CABLE Fuera de Rango</v>
      </c>
      <c r="BQ18" s="918">
        <f>IF(AJ18="Cable Armado",VLOOKUP($AA18,'CONDCUTORES MT'!$A$109:$C$118,3,FALSE),VLOOKUP($AA18,'CONDCUTORES MT'!$A$109:$D$127,2,FALSE))</f>
        <v>1.1000000000000001</v>
      </c>
      <c r="BR18" s="919" t="str">
        <f>IF(AND(Q18&lt;=55,Q18&gt;=51),0.76,IF(AND(Q18&lt;=60,Q18&gt;=56),0.71,IF(AND(Q18&lt;=70,Q18&gt;=61),0.58,IF(AND(Q18&lt;=80,Q18&gt;=71),0.41,"Err Temp"))))</f>
        <v>Err Temp</v>
      </c>
      <c r="BS18" s="892">
        <f t="shared" si="0"/>
        <v>2</v>
      </c>
    </row>
    <row r="19" spans="2:72" x14ac:dyDescent="0.25">
      <c r="B19" s="338">
        <f>+IF(OR(BS19=0,BS19=1),0,COUNTIF(BS$15:BS19,BS19))</f>
        <v>0</v>
      </c>
      <c r="C19" s="896" t="str">
        <f>+_xlfn.CONCAT("1.1.",SUBTOTAL(103,$D$18:D19))</f>
        <v>1.1.1</v>
      </c>
      <c r="BS19" s="1039"/>
      <c r="BT19" s="545"/>
    </row>
    <row r="20" spans="2:72" x14ac:dyDescent="0.25">
      <c r="B20" s="338">
        <f>+IF(OR(BS20=0,BS20=1),0,COUNTIF(BS$15:BS20,BS20))</f>
        <v>0</v>
      </c>
      <c r="BS20" s="1039"/>
      <c r="BT20" s="545"/>
    </row>
    <row r="21" spans="2:72" x14ac:dyDescent="0.25">
      <c r="B21" s="338">
        <f>+IF(OR(BS21=0,BS21=1),0,COUNTIF(BS$15:BS21,BS21))</f>
        <v>0</v>
      </c>
      <c r="BS21" s="1039"/>
      <c r="BT21" s="545"/>
    </row>
    <row r="22" spans="2:72" ht="15.75" customHeight="1" x14ac:dyDescent="0.25">
      <c r="B22" s="338">
        <f>+IF(OR(BS22=0,BS22=1),0,COUNTIF(BS$15:BS22,BS22))</f>
        <v>0</v>
      </c>
      <c r="BS22" s="1039"/>
      <c r="BT22" s="545"/>
    </row>
    <row r="23" spans="2:72" ht="15.75" customHeight="1" x14ac:dyDescent="0.25">
      <c r="B23" s="338">
        <f>+IF(OR(BS23=0,BS23=1),0,COUNTIF(BS$15:BS23,BS23))</f>
        <v>0</v>
      </c>
      <c r="BS23" s="1039"/>
      <c r="BT23" s="545"/>
    </row>
    <row r="24" spans="2:72" ht="15.75" customHeight="1" x14ac:dyDescent="0.25">
      <c r="B24" s="338">
        <f>+IF(OR(BS24=0,BS24=1),0,COUNTIF(BS$15:BS24,BS24))</f>
        <v>0</v>
      </c>
      <c r="BS24" s="1039"/>
      <c r="BT24" s="545"/>
    </row>
    <row r="25" spans="2:72" ht="15.75" customHeight="1" x14ac:dyDescent="0.25">
      <c r="B25" s="338">
        <f>+IF(OR(BS25=0,BS25=1),0,COUNTIF(BS$15:BS25,BS25))</f>
        <v>0</v>
      </c>
      <c r="BS25" s="1039"/>
      <c r="BT25" s="545"/>
    </row>
    <row r="26" spans="2:72" x14ac:dyDescent="0.25">
      <c r="B26" s="338">
        <f>+IF(OR(BS26=0,BS26=1),0,COUNTIF(BS$15:BS26,BS26))</f>
        <v>0</v>
      </c>
      <c r="BS26" s="1039"/>
      <c r="BT26" s="545"/>
    </row>
    <row r="27" spans="2:72" x14ac:dyDescent="0.25">
      <c r="B27" s="338">
        <f>+IF(OR(BS27=0,BS27=1),0,COUNTIF(BS$15:BS27,BS27))</f>
        <v>0</v>
      </c>
      <c r="BS27" s="1039"/>
      <c r="BT27" s="545"/>
    </row>
    <row r="28" spans="2:72" x14ac:dyDescent="0.25">
      <c r="B28" s="338">
        <f>+IF(OR(BS28=0,BS28=1),0,COUNTIF(BS$15:BS28,BS28))</f>
        <v>0</v>
      </c>
      <c r="BS28" s="1039"/>
      <c r="BT28" s="545"/>
    </row>
    <row r="29" spans="2:72" x14ac:dyDescent="0.25">
      <c r="B29" s="338">
        <f>+IF(OR(BS29=0,BS29=1),0,COUNTIF(BS$15:BS29,BS29))</f>
        <v>0</v>
      </c>
      <c r="BS29" s="1039"/>
      <c r="BT29" s="545"/>
    </row>
    <row r="30" spans="2:72" x14ac:dyDescent="0.25">
      <c r="B30" s="338">
        <f>+IF(OR(BS30=0,BS30=1),0,COUNTIF(BS$15:BS30,BS30))</f>
        <v>0</v>
      </c>
      <c r="BS30" s="1039"/>
      <c r="BT30" s="545"/>
    </row>
    <row r="31" spans="2:72" ht="85.5" customHeight="1" x14ac:dyDescent="0.25">
      <c r="B31" s="338">
        <f>+IF(OR(BS31=0,BS31=1),0,COUNTIF(BS$15:BS31,BS31))</f>
        <v>0</v>
      </c>
      <c r="BS31" s="1039"/>
      <c r="BT31" s="545"/>
    </row>
    <row r="32" spans="2:72" ht="85.5" customHeight="1" x14ac:dyDescent="0.25">
      <c r="B32" s="338">
        <f>+IF(OR(BS32=0,BS32=1),0,COUNTIF(BS$15:BS32,BS32))</f>
        <v>0</v>
      </c>
      <c r="BS32" s="1039"/>
      <c r="BT32" s="545"/>
    </row>
    <row r="33" spans="2:72" ht="83.25" customHeight="1" x14ac:dyDescent="0.25">
      <c r="B33" s="338">
        <f>+IF(OR(BS33=0,BS33=1),0,COUNTIF(BS$15:BS33,BS33))</f>
        <v>0</v>
      </c>
      <c r="BS33" s="1039"/>
      <c r="BT33" s="545"/>
    </row>
    <row r="34" spans="2:72" x14ac:dyDescent="0.25">
      <c r="B34" s="338">
        <f>+IF(OR(BS34=0,BS34=1),0,COUNTIF(BS$15:BS34,BS34))</f>
        <v>0</v>
      </c>
      <c r="BS34" s="1039"/>
      <c r="BT34" s="545"/>
    </row>
    <row r="35" spans="2:72" ht="82.5" customHeight="1" x14ac:dyDescent="0.25">
      <c r="B35" s="338">
        <f>+IF(OR(BS35=0,BS35=1),0,COUNTIF(BS$15:BS35,BS35))</f>
        <v>0</v>
      </c>
      <c r="BS35" s="1039"/>
      <c r="BT35" s="545"/>
    </row>
    <row r="36" spans="2:72" x14ac:dyDescent="0.25">
      <c r="B36" s="338">
        <f>+IF(OR(BS36=0,BS36=1),0,COUNTIF(BS$15:BS36,BS36))</f>
        <v>0</v>
      </c>
      <c r="BS36" s="1039"/>
      <c r="BT36" s="545"/>
    </row>
    <row r="37" spans="2:72" x14ac:dyDescent="0.25">
      <c r="B37" s="338">
        <f>+IF(OR(BS37=0,BS37=1),0,COUNTIF(BS$15:BS37,BS37))</f>
        <v>0</v>
      </c>
      <c r="BS37" s="1039"/>
      <c r="BT37" s="545"/>
    </row>
    <row r="38" spans="2:72" x14ac:dyDescent="0.25">
      <c r="B38" s="338">
        <f>+IF(OR(BS38=0,BS38=1),0,COUNTIF(BS$15:BS38,BS38))</f>
        <v>0</v>
      </c>
      <c r="BS38" s="1039"/>
      <c r="BT38" s="545"/>
    </row>
    <row r="39" spans="2:72" x14ac:dyDescent="0.25">
      <c r="B39" s="338">
        <f>+IF(OR(BS39=0,BS39=1),0,COUNTIF(BS$15:BS39,BS39))</f>
        <v>0</v>
      </c>
      <c r="BS39" s="1039"/>
      <c r="BT39" s="545"/>
    </row>
    <row r="40" spans="2:72" x14ac:dyDescent="0.25">
      <c r="B40" s="338">
        <f>+IF(OR(BS40=0,BS40=1),0,COUNTIF(BS$15:BS40,BS40))</f>
        <v>0</v>
      </c>
      <c r="BS40" s="1039"/>
      <c r="BT40" s="545"/>
    </row>
    <row r="41" spans="2:72" x14ac:dyDescent="0.25">
      <c r="B41" s="338">
        <f>+IF(OR(BS41=0,BS41=1),0,COUNTIF(BS$15:BS41,BS41))</f>
        <v>0</v>
      </c>
      <c r="BS41" s="1039"/>
      <c r="BT41" s="545"/>
    </row>
    <row r="42" spans="2:72" x14ac:dyDescent="0.25">
      <c r="B42" s="338">
        <f>+IF(OR(BS42=0,BS42=1),0,COUNTIF(BS$15:BS42,BS42))</f>
        <v>0</v>
      </c>
      <c r="BS42" s="1039"/>
      <c r="BT42" s="545"/>
    </row>
    <row r="43" spans="2:72" x14ac:dyDescent="0.25">
      <c r="B43" s="338">
        <f>+IF(OR(BS43=0,BS43=1),0,COUNTIF(BS$15:BS43,BS43))</f>
        <v>0</v>
      </c>
      <c r="BS43" s="1039"/>
      <c r="BT43" s="545"/>
    </row>
    <row r="44" spans="2:72" x14ac:dyDescent="0.25">
      <c r="B44" s="338">
        <f>+IF(OR(BS44=0,BS44=1),0,COUNTIF(BS$15:BS44,BS44))</f>
        <v>0</v>
      </c>
      <c r="BS44" s="1039"/>
      <c r="BT44" s="545"/>
    </row>
    <row r="45" spans="2:72" x14ac:dyDescent="0.25">
      <c r="B45" s="338">
        <f>+IF(OR(BS45=0,BS45=1),0,COUNTIF(BS$15:BS45,BS45))</f>
        <v>0</v>
      </c>
      <c r="BS45" s="1039"/>
      <c r="BT45" s="545"/>
    </row>
    <row r="46" spans="2:72" x14ac:dyDescent="0.25">
      <c r="B46" s="338">
        <f>+IF(OR(BS46=0,BS46=1),0,COUNTIF(BS$15:BS46,BS46))</f>
        <v>0</v>
      </c>
      <c r="BS46" s="1039"/>
      <c r="BT46" s="545"/>
    </row>
    <row r="47" spans="2:72" x14ac:dyDescent="0.25">
      <c r="B47" s="338">
        <f>+IF(OR(BS47=0,BS47=1),0,COUNTIF(BS$15:BS47,BS47))</f>
        <v>0</v>
      </c>
      <c r="BS47" s="1039"/>
      <c r="BT47" s="545"/>
    </row>
    <row r="48" spans="2:72" x14ac:dyDescent="0.25">
      <c r="B48" s="338">
        <f>+IF(OR(BS48=0,BS48=1),0,COUNTIF(BS$15:BS48,BS48))</f>
        <v>0</v>
      </c>
      <c r="BS48" s="1039"/>
      <c r="BT48" s="545"/>
    </row>
    <row r="49" spans="2:72" x14ac:dyDescent="0.25">
      <c r="B49" s="338">
        <f>+IF(OR(BS49=0,BS49=1),0,COUNTIF(BS$15:BS49,BS49))</f>
        <v>0</v>
      </c>
      <c r="BS49" s="1039"/>
      <c r="BT49" s="545"/>
    </row>
    <row r="50" spans="2:72" x14ac:dyDescent="0.25">
      <c r="B50" s="338">
        <f>+IF(OR(BS50=0,BS50=1),0,COUNTIF(BS$15:BS50,BS50))</f>
        <v>0</v>
      </c>
      <c r="BS50" s="1039"/>
      <c r="BT50" s="545"/>
    </row>
    <row r="51" spans="2:72" x14ac:dyDescent="0.25">
      <c r="B51" s="338">
        <f>+IF(OR(BS51=0,BS51=1),0,COUNTIF(BS$15:BS51,BS51))</f>
        <v>0</v>
      </c>
      <c r="BS51" s="1039"/>
      <c r="BT51" s="545"/>
    </row>
    <row r="52" spans="2:72" x14ac:dyDescent="0.25">
      <c r="B52" s="338">
        <f>+IF(OR(BS52=0,BS52=1),0,COUNTIF(BS$15:BS52,BS52))</f>
        <v>0</v>
      </c>
      <c r="BS52" s="1039"/>
      <c r="BT52" s="545"/>
    </row>
    <row r="53" spans="2:72" x14ac:dyDescent="0.25">
      <c r="B53" s="338">
        <f>+IF(OR(BS53=0,BS53=1),0,COUNTIF(BS$15:BS53,BS53))</f>
        <v>0</v>
      </c>
      <c r="BS53" s="1039"/>
      <c r="BT53" s="545"/>
    </row>
    <row r="54" spans="2:72" x14ac:dyDescent="0.25">
      <c r="B54" s="338">
        <f>+IF(OR(BS54=0,BS54=1),0,COUNTIF(BS$15:BS54,BS54))</f>
        <v>0</v>
      </c>
      <c r="BS54" s="1039"/>
      <c r="BT54" s="545"/>
    </row>
    <row r="55" spans="2:72" x14ac:dyDescent="0.25">
      <c r="B55" s="338">
        <f>+IF(OR(BS55=0,BS55=1),0,COUNTIF(BS$15:BS55,BS55))</f>
        <v>0</v>
      </c>
      <c r="BS55" s="1039"/>
      <c r="BT55" s="545"/>
    </row>
    <row r="56" spans="2:72" x14ac:dyDescent="0.25">
      <c r="B56" s="338">
        <f>+IF(OR(BS56=0,BS56=1),0,COUNTIF(BS$15:BS56,BS56))</f>
        <v>0</v>
      </c>
      <c r="BS56" s="1039"/>
      <c r="BT56" s="545"/>
    </row>
    <row r="57" spans="2:72" x14ac:dyDescent="0.25">
      <c r="B57" s="338">
        <f>+IF(OR(BS57=0,BS57=1),0,COUNTIF(BS$15:BS57,BS57))</f>
        <v>0</v>
      </c>
      <c r="BS57" s="1039"/>
      <c r="BT57" s="545"/>
    </row>
    <row r="58" spans="2:72" x14ac:dyDescent="0.25">
      <c r="B58" s="338">
        <f>+IF(OR(BS58=0,BS58=1),0,COUNTIF(BS$15:BS58,BS58))</f>
        <v>0</v>
      </c>
      <c r="BS58" s="1039"/>
      <c r="BT58" s="545"/>
    </row>
    <row r="59" spans="2:72" x14ac:dyDescent="0.25">
      <c r="B59" s="338">
        <f>+IF(OR(BS59=0,BS59=1),0,COUNTIF(BS$15:BS59,BS59))</f>
        <v>0</v>
      </c>
      <c r="BS59" s="1039"/>
      <c r="BT59" s="545"/>
    </row>
    <row r="60" spans="2:72" x14ac:dyDescent="0.25">
      <c r="B60" s="338">
        <f>+IF(OR(BS60=0,BS60=1),0,COUNTIF(BS$15:BS60,BS60))</f>
        <v>0</v>
      </c>
      <c r="BS60" s="1039"/>
      <c r="BT60" s="545"/>
    </row>
    <row r="61" spans="2:72" x14ac:dyDescent="0.25">
      <c r="B61" s="338">
        <f>+IF(OR(BS61=0,BS61=1),0,COUNTIF(BS$15:BS61,BS61))</f>
        <v>0</v>
      </c>
      <c r="BS61" s="1039"/>
      <c r="BT61" s="545"/>
    </row>
    <row r="62" spans="2:72" x14ac:dyDescent="0.25">
      <c r="B62" s="338">
        <f>+IF(OR(BS62=0,BS62=1),0,COUNTIF(BS$15:BS62,BS62))</f>
        <v>0</v>
      </c>
      <c r="BS62" s="1039"/>
      <c r="BT62" s="545"/>
    </row>
    <row r="63" spans="2:72" x14ac:dyDescent="0.25">
      <c r="B63" s="338">
        <f>+IF(OR(BS63=0,BS63=1),0,COUNTIF(BS$15:BS63,BS63))</f>
        <v>0</v>
      </c>
      <c r="BS63" s="1039"/>
      <c r="BT63" s="545"/>
    </row>
    <row r="64" spans="2:72" x14ac:dyDescent="0.25">
      <c r="B64" s="338">
        <f>+IF(OR(BS64=0,BS64=1),0,COUNTIF(BS$15:BS64,BS64))</f>
        <v>0</v>
      </c>
      <c r="BS64" s="1039"/>
      <c r="BT64" s="545"/>
    </row>
    <row r="65" spans="2:72" x14ac:dyDescent="0.25">
      <c r="B65" s="338">
        <f>+IF(OR(BS65=0,BS65=1),0,COUNTIF(BS$15:BS65,BS65))</f>
        <v>0</v>
      </c>
      <c r="BS65" s="1039"/>
      <c r="BT65" s="545"/>
    </row>
    <row r="66" spans="2:72" x14ac:dyDescent="0.25">
      <c r="B66" s="338">
        <f>+IF(OR(BS66=0,BS66=1),0,COUNTIF(BS$15:BS66,BS66))</f>
        <v>0</v>
      </c>
      <c r="BS66" s="1039"/>
      <c r="BT66" s="545"/>
    </row>
    <row r="67" spans="2:72" x14ac:dyDescent="0.25">
      <c r="B67" s="338">
        <f>+IF(OR(BS67=0,BS67=1),0,COUNTIF(BS$15:BS67,BS67))</f>
        <v>0</v>
      </c>
      <c r="BS67" s="1039"/>
      <c r="BT67" s="545"/>
    </row>
    <row r="68" spans="2:72" x14ac:dyDescent="0.25">
      <c r="B68" s="338">
        <f>+IF(OR(BS68=0,BS68=1),0,COUNTIF(BS$15:BS68,BS68))</f>
        <v>0</v>
      </c>
      <c r="BS68" s="1039"/>
      <c r="BT68" s="545"/>
    </row>
    <row r="69" spans="2:72" x14ac:dyDescent="0.25">
      <c r="B69" s="338">
        <f>+IF(OR(BS69=0,BS69=1),0,COUNTIF(BS$15:BS69,BS69))</f>
        <v>0</v>
      </c>
      <c r="BS69" s="1039"/>
      <c r="BT69" s="545"/>
    </row>
    <row r="70" spans="2:72" x14ac:dyDescent="0.25">
      <c r="B70" s="338">
        <f>+IF(OR(BS70=0,BS70=1),0,COUNTIF(BS$15:BS70,BS70))</f>
        <v>0</v>
      </c>
      <c r="BS70" s="1039"/>
      <c r="BT70" s="545"/>
    </row>
    <row r="71" spans="2:72" x14ac:dyDescent="0.25">
      <c r="B71" s="338">
        <f>+IF(OR(BS71=0,BS71=1),0,COUNTIF(BS$15:BS71,BS71))</f>
        <v>0</v>
      </c>
      <c r="BS71" s="1039"/>
      <c r="BT71" s="545"/>
    </row>
    <row r="72" spans="2:72" x14ac:dyDescent="0.25">
      <c r="B72" s="338">
        <f>+IF(OR(BS72=0,BS72=1),0,COUNTIF(BS$15:BS72,BS72))</f>
        <v>0</v>
      </c>
      <c r="BS72" s="1039"/>
      <c r="BT72" s="545"/>
    </row>
    <row r="73" spans="2:72" x14ac:dyDescent="0.25">
      <c r="B73" s="338">
        <f>+IF(OR(BS73=0,BS73=1),0,COUNTIF(BS$15:BS73,BS73))</f>
        <v>0</v>
      </c>
      <c r="BS73" s="1039"/>
      <c r="BT73" s="545"/>
    </row>
    <row r="74" spans="2:72" x14ac:dyDescent="0.25">
      <c r="B74" s="338">
        <f>+IF(OR(BS74=0,BS74=1),0,COUNTIF(BS$15:BS74,BS74))</f>
        <v>0</v>
      </c>
      <c r="BS74" s="1039"/>
      <c r="BT74" s="545"/>
    </row>
    <row r="75" spans="2:72" x14ac:dyDescent="0.25">
      <c r="B75" s="338">
        <f>+IF(OR(BS75=0,BS75=1),0,COUNTIF(BS$15:BS75,BS75))</f>
        <v>0</v>
      </c>
      <c r="BS75" s="1039"/>
      <c r="BT75" s="545"/>
    </row>
    <row r="76" spans="2:72" x14ac:dyDescent="0.25">
      <c r="B76" s="338">
        <f>+IF(OR(BS76=0,BS76=1),0,COUNTIF(BS$15:BS76,BS76))</f>
        <v>0</v>
      </c>
      <c r="BS76" s="1039"/>
      <c r="BT76" s="545"/>
    </row>
    <row r="77" spans="2:72" x14ac:dyDescent="0.25">
      <c r="B77" s="338">
        <f>+IF(OR(BS77=0,BS77=1),0,COUNTIF(BS$15:BS77,BS77))</f>
        <v>0</v>
      </c>
      <c r="BS77" s="1039"/>
      <c r="BT77" s="545"/>
    </row>
    <row r="78" spans="2:72" x14ac:dyDescent="0.25">
      <c r="B78" s="338">
        <f>+IF(OR(BS78=0,BS78=1),0,COUNTIF(BS$15:BS78,BS78))</f>
        <v>0</v>
      </c>
      <c r="BS78" s="1039"/>
      <c r="BT78" s="545"/>
    </row>
    <row r="79" spans="2:72" x14ac:dyDescent="0.25">
      <c r="B79" s="338">
        <f>+IF(OR(BS79=0,BS79=1),0,COUNTIF(BS$15:BS79,BS79))</f>
        <v>0</v>
      </c>
      <c r="BS79" s="1039"/>
      <c r="BT79" s="545"/>
    </row>
    <row r="80" spans="2:72" x14ac:dyDescent="0.25">
      <c r="B80" s="338">
        <f>+IF(OR(BS80=0,BS80=1),0,COUNTIF(BS$15:BS80,BS80))</f>
        <v>0</v>
      </c>
      <c r="BS80" s="1039"/>
      <c r="BT80" s="545"/>
    </row>
    <row r="81" spans="2:72" x14ac:dyDescent="0.25">
      <c r="B81" s="338">
        <f>+IF(OR(BS81=0,BS81=1),0,COUNTIF(BS$15:BS81,BS81))</f>
        <v>0</v>
      </c>
      <c r="BS81" s="1039"/>
      <c r="BT81" s="545"/>
    </row>
    <row r="82" spans="2:72" x14ac:dyDescent="0.25">
      <c r="B82" s="338">
        <f>+IF(OR(BS82=0,BS82=1),0,COUNTIF(BS$15:BS82,BS82))</f>
        <v>0</v>
      </c>
      <c r="BS82" s="1039"/>
      <c r="BT82" s="545"/>
    </row>
    <row r="83" spans="2:72" x14ac:dyDescent="0.25">
      <c r="B83" s="338">
        <f>+IF(OR(BS83=0,BS83=1),0,COUNTIF(BS$15:BS83,BS83))</f>
        <v>0</v>
      </c>
      <c r="BS83" s="1039"/>
      <c r="BT83" s="545"/>
    </row>
    <row r="84" spans="2:72" x14ac:dyDescent="0.25">
      <c r="B84" s="338">
        <f>+IF(OR(BS84=0,BS84=1),0,COUNTIF(BS$15:BS84,BS84))</f>
        <v>0</v>
      </c>
      <c r="BS84" s="1039"/>
      <c r="BT84" s="545"/>
    </row>
    <row r="85" spans="2:72" x14ac:dyDescent="0.25">
      <c r="B85" s="338">
        <f>+IF(OR(BS85=0,BS85=1),0,COUNTIF(BS$15:BS85,BS85))</f>
        <v>0</v>
      </c>
      <c r="BS85" s="1039"/>
      <c r="BT85" s="545"/>
    </row>
    <row r="86" spans="2:72" x14ac:dyDescent="0.25">
      <c r="B86" s="338">
        <f>+IF(OR(BS86=0,BS86=1),0,COUNTIF(BS$15:BS86,BS86))</f>
        <v>0</v>
      </c>
      <c r="BS86" s="1039"/>
      <c r="BT86" s="545"/>
    </row>
    <row r="87" spans="2:72" x14ac:dyDescent="0.25">
      <c r="B87" s="338">
        <f>+IF(OR(BS87=0,BS87=1),0,COUNTIF(BS$15:BS87,BS87))</f>
        <v>0</v>
      </c>
      <c r="BS87" s="1039"/>
      <c r="BT87" s="545"/>
    </row>
    <row r="88" spans="2:72" x14ac:dyDescent="0.25">
      <c r="B88" s="338">
        <f>+IF(OR(BS88=0,BS88=1),0,COUNTIF(BS$15:BS88,BS88))</f>
        <v>0</v>
      </c>
      <c r="BS88" s="1039"/>
      <c r="BT88" s="545"/>
    </row>
    <row r="89" spans="2:72" x14ac:dyDescent="0.25">
      <c r="B89" s="338">
        <f>+IF(OR(BS89=0,BS89=1),0,COUNTIF(BS$15:BS89,BS89))</f>
        <v>0</v>
      </c>
      <c r="BS89" s="1039"/>
      <c r="BT89" s="545"/>
    </row>
    <row r="90" spans="2:72" x14ac:dyDescent="0.25">
      <c r="B90" s="338">
        <f>+IF(OR(BS90=0,BS90=1),0,COUNTIF(BS$15:BS90,BS90))</f>
        <v>0</v>
      </c>
      <c r="BS90" s="1039"/>
      <c r="BT90" s="545"/>
    </row>
    <row r="91" spans="2:72" x14ac:dyDescent="0.25">
      <c r="B91" s="338">
        <f>+IF(OR(BS91=0,BS91=1),0,COUNTIF(BS$15:BS91,BS91))</f>
        <v>0</v>
      </c>
      <c r="BS91" s="1039"/>
      <c r="BT91" s="545"/>
    </row>
    <row r="92" spans="2:72" x14ac:dyDescent="0.25">
      <c r="B92" s="338">
        <f>+IF(OR(BS92=0,BS92=1),0,COUNTIF(BS$15:BS92,BS92))</f>
        <v>0</v>
      </c>
      <c r="BS92" s="1039"/>
      <c r="BT92" s="545"/>
    </row>
    <row r="93" spans="2:72" x14ac:dyDescent="0.25">
      <c r="B93" s="338">
        <f>+IF(OR(BS93=0,BS93=1),0,COUNTIF(BS$15:BS93,BS93))</f>
        <v>0</v>
      </c>
      <c r="BS93" s="1039"/>
      <c r="BT93" s="545"/>
    </row>
    <row r="94" spans="2:72" x14ac:dyDescent="0.25">
      <c r="B94" s="338">
        <f>+IF(OR(BS94=0,BS94=1),0,COUNTIF(BS$15:BS94,BS94))</f>
        <v>0</v>
      </c>
      <c r="BS94" s="1039"/>
      <c r="BT94" s="545"/>
    </row>
    <row r="95" spans="2:72" x14ac:dyDescent="0.25">
      <c r="B95" s="338">
        <f>+IF(OR(BS95=0,BS95=1),0,COUNTIF(BS$15:BS95,BS95))</f>
        <v>0</v>
      </c>
      <c r="BS95" s="1039"/>
      <c r="BT95" s="545"/>
    </row>
    <row r="96" spans="2:72" x14ac:dyDescent="0.25">
      <c r="B96" s="338">
        <f>+IF(OR(BS96=0,BS96=1),0,COUNTIF(BS$15:BS96,BS96))</f>
        <v>0</v>
      </c>
      <c r="BS96" s="1039"/>
      <c r="BT96" s="545"/>
    </row>
    <row r="97" spans="2:72" x14ac:dyDescent="0.25">
      <c r="B97" s="338">
        <f>+IF(OR(BS97=0,BS97=1),0,COUNTIF(BS$15:BS97,BS97))</f>
        <v>0</v>
      </c>
      <c r="BS97" s="1039"/>
      <c r="BT97" s="545"/>
    </row>
    <row r="98" spans="2:72" x14ac:dyDescent="0.25">
      <c r="B98" s="338">
        <f>+IF(OR(BS98=0,BS98=1),0,COUNTIF(BS$15:BS98,BS98))</f>
        <v>0</v>
      </c>
      <c r="BS98" s="1039"/>
      <c r="BT98" s="545"/>
    </row>
    <row r="99" spans="2:72" x14ac:dyDescent="0.25">
      <c r="B99" s="338">
        <f>+IF(OR(BS99=0,BS99=1),0,COUNTIF(BS$15:BS99,BS99))</f>
        <v>0</v>
      </c>
      <c r="BS99" s="1039"/>
      <c r="BT99" s="545"/>
    </row>
    <row r="100" spans="2:72" x14ac:dyDescent="0.25">
      <c r="B100" s="338">
        <f>+IF(OR(BS100=0,BS100=1),0,COUNTIF(BS$15:BS100,BS100))</f>
        <v>0</v>
      </c>
      <c r="BS100" s="1039"/>
      <c r="BT100" s="545"/>
    </row>
    <row r="101" spans="2:72" x14ac:dyDescent="0.25">
      <c r="B101" s="338">
        <f>+IF(OR(BS101=0,BS101=1),0,COUNTIF(BS$15:BS101,BS101))</f>
        <v>0</v>
      </c>
      <c r="BS101" s="1039"/>
      <c r="BT101" s="545"/>
    </row>
    <row r="102" spans="2:72" x14ac:dyDescent="0.25">
      <c r="B102" s="338">
        <f>+IF(OR(BS102=0,BS102=1),0,COUNTIF(BS$15:BS102,BS102))</f>
        <v>0</v>
      </c>
      <c r="BS102" s="1039"/>
      <c r="BT102" s="545"/>
    </row>
    <row r="103" spans="2:72" x14ac:dyDescent="0.25">
      <c r="B103" s="338">
        <f>+IF(OR(BS103=0,BS103=1),0,COUNTIF(BS$15:BS103,BS103))</f>
        <v>0</v>
      </c>
      <c r="BS103" s="1039"/>
      <c r="BT103" s="545"/>
    </row>
    <row r="104" spans="2:72" x14ac:dyDescent="0.25">
      <c r="B104" s="338">
        <f>+IF(OR(BS104=0,BS104=1),0,COUNTIF(BS$15:BS104,BS104))</f>
        <v>0</v>
      </c>
      <c r="BS104" s="1039"/>
      <c r="BT104" s="545"/>
    </row>
    <row r="105" spans="2:72" x14ac:dyDescent="0.25">
      <c r="B105" s="338">
        <f>+IF(OR(BS105=0,BS105=1),0,COUNTIF(BS$15:BS105,BS105))</f>
        <v>0</v>
      </c>
      <c r="BS105" s="1039"/>
      <c r="BT105" s="545"/>
    </row>
    <row r="106" spans="2:72" x14ac:dyDescent="0.25">
      <c r="B106" s="338">
        <f>+IF(OR(BS106=0,BS106=1),0,COUNTIF(BS$15:BS106,BS106))</f>
        <v>0</v>
      </c>
      <c r="BS106" s="1039"/>
      <c r="BT106" s="545"/>
    </row>
    <row r="107" spans="2:72" x14ac:dyDescent="0.25">
      <c r="B107" s="338">
        <f>+IF(OR(BS107=0,BS107=1),0,COUNTIF(BS$15:BS107,BS107))</f>
        <v>0</v>
      </c>
      <c r="BS107" s="1039"/>
      <c r="BT107" s="545"/>
    </row>
    <row r="108" spans="2:72" x14ac:dyDescent="0.25">
      <c r="B108" s="338">
        <f>+IF(OR(BS108=0,BS108=1),0,COUNTIF(BS$15:BS108,BS108))</f>
        <v>0</v>
      </c>
      <c r="BS108" s="1039"/>
      <c r="BT108" s="545"/>
    </row>
    <row r="109" spans="2:72" x14ac:dyDescent="0.25">
      <c r="B109" s="338">
        <f>+IF(OR(BS109=0,BS109=1),0,COUNTIF(BS$15:BS109,BS109))</f>
        <v>0</v>
      </c>
      <c r="BS109" s="1039"/>
      <c r="BT109" s="545"/>
    </row>
    <row r="110" spans="2:72" x14ac:dyDescent="0.25">
      <c r="B110" s="338">
        <f>+IF(OR(BS110=0,BS110=1),0,COUNTIF(BS$15:BS110,BS110))</f>
        <v>0</v>
      </c>
      <c r="BS110" s="1039"/>
      <c r="BT110" s="545"/>
    </row>
    <row r="111" spans="2:72" x14ac:dyDescent="0.25">
      <c r="B111" s="338">
        <f>+IF(OR(BS111=0,BS111=1),0,COUNTIF(BS$15:BS111,BS111))</f>
        <v>0</v>
      </c>
      <c r="BS111" s="1039"/>
      <c r="BT111" s="545"/>
    </row>
    <row r="112" spans="2:72" x14ac:dyDescent="0.25">
      <c r="B112" s="338">
        <f>+IF(OR(BS112=0,BS112=1),0,COUNTIF(BS$15:BS112,BS112))</f>
        <v>0</v>
      </c>
      <c r="BS112" s="1039"/>
      <c r="BT112" s="545"/>
    </row>
    <row r="113" spans="2:72" x14ac:dyDescent="0.25">
      <c r="B113" s="338">
        <f>+IF(OR(BS113=0,BS113=1),0,COUNTIF(BS$15:BS113,BS113))</f>
        <v>0</v>
      </c>
      <c r="BS113" s="1039"/>
      <c r="BT113" s="545"/>
    </row>
    <row r="114" spans="2:72" x14ac:dyDescent="0.25">
      <c r="B114" s="338">
        <f>+IF(OR(BS114=0,BS114=1),0,COUNTIF(BS$15:BS114,BS114))</f>
        <v>0</v>
      </c>
      <c r="BS114" s="1039"/>
      <c r="BT114" s="545"/>
    </row>
    <row r="115" spans="2:72" x14ac:dyDescent="0.25">
      <c r="B115" s="338">
        <f>+IF(OR(BS115=0,BS115=1),0,COUNTIF(BS$15:BS115,BS115))</f>
        <v>0</v>
      </c>
      <c r="BS115" s="1039"/>
      <c r="BT115" s="545"/>
    </row>
    <row r="116" spans="2:72" x14ac:dyDescent="0.25">
      <c r="B116" s="338">
        <f>+IF(OR(BS116=0,BS116=1),0,COUNTIF(BS$15:BS116,BS116))</f>
        <v>0</v>
      </c>
      <c r="BS116" s="1039"/>
      <c r="BT116" s="545"/>
    </row>
    <row r="117" spans="2:72" x14ac:dyDescent="0.25">
      <c r="B117" s="338">
        <f>+IF(OR(BS117=0,BS117=1),0,COUNTIF(BS$15:BS117,BS117))</f>
        <v>0</v>
      </c>
      <c r="BS117" s="1039"/>
      <c r="BT117" s="545"/>
    </row>
    <row r="118" spans="2:72" x14ac:dyDescent="0.25">
      <c r="B118" s="338">
        <f>+IF(OR(BS118=0,BS118=1),0,COUNTIF(BS$15:BS118,BS118))</f>
        <v>0</v>
      </c>
      <c r="BS118" s="1039"/>
      <c r="BT118" s="545"/>
    </row>
    <row r="119" spans="2:72" x14ac:dyDescent="0.25">
      <c r="B119" s="338">
        <f>+IF(OR(BS119=0,BS119=1),0,COUNTIF(BS$15:BS119,BS119))</f>
        <v>0</v>
      </c>
      <c r="BS119" s="1039"/>
      <c r="BT119" s="545"/>
    </row>
    <row r="120" spans="2:72" x14ac:dyDescent="0.25">
      <c r="B120" s="338">
        <f>+IF(OR(BS120=0,BS120=1),0,COUNTIF(BS$15:BS120,BS120))</f>
        <v>0</v>
      </c>
      <c r="BS120" s="1039"/>
      <c r="BT120" s="545"/>
    </row>
    <row r="121" spans="2:72" x14ac:dyDescent="0.25">
      <c r="B121" s="338">
        <f>+IF(OR(BS121=0,BS121=1),0,COUNTIF(BS$15:BS121,BS121))</f>
        <v>0</v>
      </c>
      <c r="BS121" s="1039"/>
      <c r="BT121" s="545"/>
    </row>
    <row r="122" spans="2:72" x14ac:dyDescent="0.25">
      <c r="B122" s="338">
        <f>+IF(OR(BS122=0,BS122=1),0,COUNTIF(BS$15:BS122,BS122))</f>
        <v>0</v>
      </c>
      <c r="BS122" s="1039"/>
      <c r="BT122" s="545"/>
    </row>
    <row r="123" spans="2:72" x14ac:dyDescent="0.25">
      <c r="B123" s="338">
        <f>+IF(OR(BS123=0,BS123=1),0,COUNTIF(BS$15:BS123,BS123))</f>
        <v>0</v>
      </c>
      <c r="BS123" s="1039"/>
      <c r="BT123" s="545"/>
    </row>
    <row r="124" spans="2:72" x14ac:dyDescent="0.25">
      <c r="B124" s="338">
        <f>+IF(OR(BS124=0,BS124=1),0,COUNTIF(BS$15:BS124,BS124))</f>
        <v>0</v>
      </c>
      <c r="BS124" s="1039"/>
      <c r="BT124" s="545"/>
    </row>
    <row r="125" spans="2:72" x14ac:dyDescent="0.25">
      <c r="B125" s="338">
        <f>+IF(OR(BS125=0,BS125=1),0,COUNTIF(BS$15:BS125,BS125))</f>
        <v>0</v>
      </c>
      <c r="BS125" s="1039"/>
      <c r="BT125" s="545"/>
    </row>
    <row r="126" spans="2:72" x14ac:dyDescent="0.25">
      <c r="B126" s="338">
        <f>+IF(OR(BS126=0,BS126=1),0,COUNTIF(BS$15:BS126,BS126))</f>
        <v>0</v>
      </c>
      <c r="BS126" s="1039"/>
      <c r="BT126" s="545"/>
    </row>
    <row r="127" spans="2:72" x14ac:dyDescent="0.25">
      <c r="B127" s="338">
        <f>+IF(OR(BS127=0,BS127=1),0,COUNTIF(BS$15:BS127,BS127))</f>
        <v>0</v>
      </c>
      <c r="BS127" s="1039"/>
      <c r="BT127" s="545"/>
    </row>
    <row r="128" spans="2:72" x14ac:dyDescent="0.25">
      <c r="B128" s="338">
        <f>+IF(OR(BS128=0,BS128=1),0,COUNTIF(BS$15:BS128,BS128))</f>
        <v>0</v>
      </c>
      <c r="BS128" s="1039"/>
      <c r="BT128" s="545"/>
    </row>
    <row r="129" spans="2:72" x14ac:dyDescent="0.25">
      <c r="B129" s="338">
        <f>+IF(OR(BS129=0,BS129=1),0,COUNTIF(BS$15:BS129,BS129))</f>
        <v>0</v>
      </c>
      <c r="BS129" s="1039"/>
      <c r="BT129" s="545"/>
    </row>
    <row r="130" spans="2:72" x14ac:dyDescent="0.25">
      <c r="B130" s="338">
        <f>+IF(OR(BS130=0,BS130=1),0,COUNTIF(BS$15:BS130,BS130))</f>
        <v>0</v>
      </c>
      <c r="BS130" s="1039"/>
      <c r="BT130" s="545"/>
    </row>
    <row r="131" spans="2:72" x14ac:dyDescent="0.25">
      <c r="B131" s="338">
        <f>+IF(OR(BS131=0,BS131=1),0,COUNTIF(BS$15:BS131,BS131))</f>
        <v>0</v>
      </c>
      <c r="BS131" s="1039"/>
      <c r="BT131" s="545"/>
    </row>
    <row r="132" spans="2:72" x14ac:dyDescent="0.25">
      <c r="B132" s="338">
        <f>+IF(OR(BS132=0,BS132=1),0,COUNTIF(BS$15:BS132,BS132))</f>
        <v>0</v>
      </c>
      <c r="BS132" s="1039"/>
      <c r="BT132" s="545"/>
    </row>
    <row r="133" spans="2:72" x14ac:dyDescent="0.25">
      <c r="B133" s="338">
        <f>+IF(OR(BS133=0,BS133=1),0,COUNTIF(BS$15:BS133,BS133))</f>
        <v>0</v>
      </c>
      <c r="BS133" s="1039"/>
      <c r="BT133" s="545"/>
    </row>
    <row r="134" spans="2:72" x14ac:dyDescent="0.25">
      <c r="B134" s="338">
        <f>+IF(OR(BS134=0,BS134=1),0,COUNTIF(BS$15:BS134,BS134))</f>
        <v>0</v>
      </c>
      <c r="BS134" s="1039"/>
      <c r="BT134" s="545"/>
    </row>
    <row r="135" spans="2:72" x14ac:dyDescent="0.25">
      <c r="B135" s="338">
        <f>+IF(OR(BS135=0,BS135=1),0,COUNTIF(BS$15:BS135,BS135))</f>
        <v>0</v>
      </c>
      <c r="BS135" s="1039"/>
      <c r="BT135" s="545"/>
    </row>
    <row r="136" spans="2:72" x14ac:dyDescent="0.25">
      <c r="B136" s="338">
        <f>+IF(OR(BS136=0,BS136=1),0,COUNTIF(BS$15:BS136,BS136))</f>
        <v>0</v>
      </c>
      <c r="BS136" s="1039"/>
      <c r="BT136" s="545"/>
    </row>
    <row r="137" spans="2:72" x14ac:dyDescent="0.25">
      <c r="B137" s="338">
        <f>+IF(OR(BS137=0,BS137=1),0,COUNTIF(BS$15:BS137,BS137))</f>
        <v>0</v>
      </c>
      <c r="BS137" s="1039"/>
      <c r="BT137" s="545"/>
    </row>
    <row r="138" spans="2:72" x14ac:dyDescent="0.25">
      <c r="B138" s="338">
        <f>+IF(OR(BS138=0,BS138=1),0,COUNTIF(BS$15:BS138,BS138))</f>
        <v>0</v>
      </c>
      <c r="BS138" s="1039"/>
      <c r="BT138" s="545"/>
    </row>
    <row r="139" spans="2:72" x14ac:dyDescent="0.25">
      <c r="B139" s="338">
        <f>+IF(OR(BS139=0,BS139=1),0,COUNTIF(BS$15:BS139,BS139))</f>
        <v>0</v>
      </c>
      <c r="BS139" s="1039"/>
      <c r="BT139" s="545"/>
    </row>
    <row r="140" spans="2:72" x14ac:dyDescent="0.25">
      <c r="B140" s="338">
        <f>+IF(OR(BS140=0,BS140=1),0,COUNTIF(BS$15:BS140,BS140))</f>
        <v>0</v>
      </c>
      <c r="BS140" s="1039"/>
      <c r="BT140" s="545"/>
    </row>
    <row r="141" spans="2:72" x14ac:dyDescent="0.25">
      <c r="B141" s="338">
        <f>+IF(OR(BS141=0,BS141=1),0,COUNTIF(BS$15:BS141,BS141))</f>
        <v>0</v>
      </c>
      <c r="BS141" s="1039"/>
      <c r="BT141" s="545"/>
    </row>
    <row r="142" spans="2:72" x14ac:dyDescent="0.25">
      <c r="B142" s="338">
        <f>+IF(OR(BS142=0,BS142=1),0,COUNTIF(BS$15:BS142,BS142))</f>
        <v>0</v>
      </c>
      <c r="BS142" s="1039"/>
      <c r="BT142" s="545"/>
    </row>
    <row r="143" spans="2:72" x14ac:dyDescent="0.25">
      <c r="B143" s="338">
        <f>+IF(OR(BS143=0,BS143=1),0,COUNTIF(BS$15:BS143,BS143))</f>
        <v>0</v>
      </c>
      <c r="BS143" s="1039"/>
      <c r="BT143" s="545"/>
    </row>
    <row r="144" spans="2:72" x14ac:dyDescent="0.25">
      <c r="B144" s="338">
        <f>+IF(OR(BS144=0,BS144=1),0,COUNTIF(BS$15:BS144,BS144))</f>
        <v>0</v>
      </c>
      <c r="BS144" s="1039"/>
      <c r="BT144" s="545"/>
    </row>
    <row r="145" spans="2:72" x14ac:dyDescent="0.25">
      <c r="B145" s="338">
        <f>+IF(OR(BS145=0,BS145=1),0,COUNTIF(BS$15:BS145,BS145))</f>
        <v>0</v>
      </c>
      <c r="BS145" s="1039"/>
      <c r="BT145" s="545"/>
    </row>
    <row r="146" spans="2:72" x14ac:dyDescent="0.25">
      <c r="B146" s="338">
        <f>+IF(OR(BS146=0,BS146=1),0,COUNTIF(BS$15:BS146,BS146))</f>
        <v>0</v>
      </c>
      <c r="BS146" s="1039"/>
      <c r="BT146" s="545"/>
    </row>
    <row r="147" spans="2:72" x14ac:dyDescent="0.25">
      <c r="B147" s="338">
        <f>+IF(OR(BS147=0,BS147=1),0,COUNTIF(BS$15:BS147,BS147))</f>
        <v>0</v>
      </c>
      <c r="BS147" s="1039"/>
      <c r="BT147" s="545"/>
    </row>
    <row r="148" spans="2:72" x14ac:dyDescent="0.25">
      <c r="B148" s="338">
        <f>+IF(OR(BS148=0,BS148=1),0,COUNTIF(BS$15:BS148,BS148))</f>
        <v>0</v>
      </c>
      <c r="BS148" s="1039"/>
      <c r="BT148" s="545"/>
    </row>
    <row r="149" spans="2:72" x14ac:dyDescent="0.25">
      <c r="B149" s="338">
        <f>+IF(OR(BS149=0,BS149=1),0,COUNTIF(BS$15:BS149,BS149))</f>
        <v>0</v>
      </c>
      <c r="BS149" s="1039"/>
      <c r="BT149" s="545"/>
    </row>
    <row r="150" spans="2:72" x14ac:dyDescent="0.25">
      <c r="B150" s="338">
        <f>+IF(OR(BS150=0,BS150=1),0,COUNTIF(BS$15:BS150,BS150))</f>
        <v>0</v>
      </c>
      <c r="BS150" s="1039"/>
      <c r="BT150" s="545"/>
    </row>
    <row r="151" spans="2:72" x14ac:dyDescent="0.25">
      <c r="B151" s="338">
        <f>+IF(OR(BS151=0,BS151=1),0,COUNTIF(BS$15:BS151,BS151))</f>
        <v>0</v>
      </c>
      <c r="BS151" s="1039"/>
      <c r="BT151" s="545"/>
    </row>
    <row r="152" spans="2:72" x14ac:dyDescent="0.25">
      <c r="B152" s="338">
        <f>+IF(OR(BS152=0,BS152=1),0,COUNTIF(BS$15:BS152,BS152))</f>
        <v>0</v>
      </c>
      <c r="BS152" s="1039"/>
      <c r="BT152" s="545"/>
    </row>
    <row r="153" spans="2:72" x14ac:dyDescent="0.25">
      <c r="B153" s="338">
        <f>+IF(OR(BS153=0,BS153=1),0,COUNTIF(BS$15:BS153,BS153))</f>
        <v>0</v>
      </c>
      <c r="BS153" s="1039"/>
      <c r="BT153" s="545"/>
    </row>
    <row r="154" spans="2:72" x14ac:dyDescent="0.25">
      <c r="B154" s="338">
        <f>+IF(OR(BS154=0,BS154=1),0,COUNTIF(BS$15:BS154,BS154))</f>
        <v>0</v>
      </c>
      <c r="BS154" s="1039"/>
      <c r="BT154" s="545"/>
    </row>
    <row r="155" spans="2:72" x14ac:dyDescent="0.25">
      <c r="B155" s="338">
        <f>+IF(OR(BS155=0,BS155=1),0,COUNTIF(BS$15:BS155,BS155))</f>
        <v>0</v>
      </c>
      <c r="BS155" s="1039"/>
      <c r="BT155" s="545"/>
    </row>
    <row r="156" spans="2:72" x14ac:dyDescent="0.25">
      <c r="B156" s="338">
        <f>+IF(OR(BS156=0,BS156=1),0,COUNTIF(BS$15:BS156,BS156))</f>
        <v>0</v>
      </c>
      <c r="BS156" s="1039"/>
      <c r="BT156" s="545"/>
    </row>
    <row r="157" spans="2:72" x14ac:dyDescent="0.25">
      <c r="B157" s="338">
        <f>+IF(OR(BS157=0,BS157=1),0,COUNTIF(BS$15:BS157,BS157))</f>
        <v>0</v>
      </c>
      <c r="BS157" s="1039"/>
      <c r="BT157" s="545"/>
    </row>
    <row r="158" spans="2:72" x14ac:dyDescent="0.25">
      <c r="B158" s="338">
        <f>+IF(OR(BS158=0,BS158=1),0,COUNTIF(BS$15:BS158,BS158))</f>
        <v>0</v>
      </c>
      <c r="BS158" s="1039"/>
      <c r="BT158" s="545"/>
    </row>
    <row r="159" spans="2:72" x14ac:dyDescent="0.25">
      <c r="B159" s="338">
        <f>+IF(OR(BS159=0,BS159=1),0,COUNTIF(BS$15:BS159,BS159))</f>
        <v>0</v>
      </c>
      <c r="BS159" s="1039"/>
      <c r="BT159" s="545"/>
    </row>
    <row r="160" spans="2:72" x14ac:dyDescent="0.25">
      <c r="B160" s="338">
        <f>+IF(OR(BS160=0,BS160=1),0,COUNTIF(BS$15:BS160,BS160))</f>
        <v>0</v>
      </c>
      <c r="BS160" s="1039"/>
      <c r="BT160" s="545"/>
    </row>
    <row r="161" spans="2:72" x14ac:dyDescent="0.25">
      <c r="B161" s="338">
        <f>+IF(OR(BS161=0,BS161=1),0,COUNTIF(BS$15:BS161,BS161))</f>
        <v>0</v>
      </c>
      <c r="BS161" s="1039"/>
      <c r="BT161" s="545"/>
    </row>
    <row r="162" spans="2:72" x14ac:dyDescent="0.25">
      <c r="B162" s="338">
        <f>+IF(OR(BS162=0,BS162=1),0,COUNTIF(BS$15:BS162,BS162))</f>
        <v>0</v>
      </c>
      <c r="BS162" s="1039"/>
      <c r="BT162" s="545"/>
    </row>
    <row r="163" spans="2:72" x14ac:dyDescent="0.25">
      <c r="B163" s="338">
        <f>+IF(OR(BS163=0,BS163=1),0,COUNTIF(BS$15:BS163,BS163))</f>
        <v>0</v>
      </c>
      <c r="BS163" s="1039"/>
      <c r="BT163" s="545"/>
    </row>
    <row r="164" spans="2:72" x14ac:dyDescent="0.25">
      <c r="B164" s="338">
        <f>+IF(OR(BS164=0,BS164=1),0,COUNTIF(BS$15:BS164,BS164))</f>
        <v>0</v>
      </c>
      <c r="BS164" s="1039"/>
      <c r="BT164" s="545"/>
    </row>
    <row r="165" spans="2:72" x14ac:dyDescent="0.25">
      <c r="B165" s="338">
        <f>+IF(OR(BS165=0,BS165=1),0,COUNTIF(BS$15:BS165,BS165))</f>
        <v>0</v>
      </c>
      <c r="BS165" s="1039"/>
      <c r="BT165" s="545"/>
    </row>
    <row r="166" spans="2:72" x14ac:dyDescent="0.25">
      <c r="B166" s="338">
        <f>+IF(OR(BS166=0,BS166=1),0,COUNTIF(BS$15:BS166,BS166))</f>
        <v>0</v>
      </c>
      <c r="BS166" s="1039"/>
      <c r="BT166" s="545"/>
    </row>
    <row r="167" spans="2:72" x14ac:dyDescent="0.25">
      <c r="B167" s="338">
        <f>+IF(OR(BS167=0,BS167=1),0,COUNTIF(BS$15:BS167,BS167))</f>
        <v>0</v>
      </c>
      <c r="BS167" s="1039"/>
      <c r="BT167" s="545"/>
    </row>
    <row r="168" spans="2:72" x14ac:dyDescent="0.25">
      <c r="B168" s="338">
        <f>+IF(OR(BS168=0,BS168=1),0,COUNTIF(BS$15:BS168,BS168))</f>
        <v>0</v>
      </c>
      <c r="BS168" s="1039"/>
      <c r="BT168" s="545"/>
    </row>
    <row r="169" spans="2:72" x14ac:dyDescent="0.25">
      <c r="B169" s="338">
        <f>+IF(OR(BS169=0,BS169=1),0,COUNTIF(BS$15:BS169,BS169))</f>
        <v>0</v>
      </c>
      <c r="BS169" s="1039"/>
      <c r="BT169" s="545"/>
    </row>
    <row r="170" spans="2:72" x14ac:dyDescent="0.25">
      <c r="B170" s="338">
        <f>+IF(OR(BS170=0,BS170=1),0,COUNTIF(BS$15:BS170,BS170))</f>
        <v>0</v>
      </c>
      <c r="BS170" s="1039"/>
      <c r="BT170" s="545"/>
    </row>
    <row r="171" spans="2:72" x14ac:dyDescent="0.25">
      <c r="B171" s="338">
        <f>+IF(OR(BS171=0,BS171=1),0,COUNTIF(BS$15:BS171,BS171))</f>
        <v>0</v>
      </c>
      <c r="BS171" s="1039"/>
      <c r="BT171" s="545"/>
    </row>
    <row r="172" spans="2:72" x14ac:dyDescent="0.25">
      <c r="B172" s="338">
        <f>+IF(OR(BS172=0,BS172=1),0,COUNTIF(BS$15:BS172,BS172))</f>
        <v>0</v>
      </c>
      <c r="BS172" s="1039"/>
      <c r="BT172" s="545"/>
    </row>
    <row r="173" spans="2:72" x14ac:dyDescent="0.25">
      <c r="B173" s="338">
        <f>+IF(OR(BS173=0,BS173=1),0,COUNTIF(BS$15:BS173,BS173))</f>
        <v>0</v>
      </c>
      <c r="BS173" s="1039"/>
      <c r="BT173" s="545"/>
    </row>
    <row r="174" spans="2:72" x14ac:dyDescent="0.25">
      <c r="B174" s="338">
        <f>+IF(OR(BS174=0,BS174=1),0,COUNTIF(BS$15:BS174,BS174))</f>
        <v>0</v>
      </c>
      <c r="BS174" s="1039"/>
      <c r="BT174" s="545"/>
    </row>
    <row r="175" spans="2:72" x14ac:dyDescent="0.25">
      <c r="B175" s="338">
        <f>+IF(OR(BS175=0,BS175=1),0,COUNTIF(BS$15:BS175,BS175))</f>
        <v>0</v>
      </c>
      <c r="BS175" s="1039"/>
      <c r="BT175" s="545"/>
    </row>
    <row r="176" spans="2:72" x14ac:dyDescent="0.25">
      <c r="B176" s="338">
        <f>+IF(OR(BS176=0,BS176=1),0,COUNTIF(BS$15:BS176,BS176))</f>
        <v>0</v>
      </c>
      <c r="BS176" s="1039"/>
      <c r="BT176" s="545"/>
    </row>
    <row r="177" spans="2:72" x14ac:dyDescent="0.25">
      <c r="B177" s="338">
        <f>+IF(OR(BS177=0,BS177=1),0,COUNTIF(BS$15:BS177,BS177))</f>
        <v>0</v>
      </c>
      <c r="BS177" s="1039"/>
      <c r="BT177" s="545"/>
    </row>
    <row r="178" spans="2:72" x14ac:dyDescent="0.25">
      <c r="B178" s="338">
        <f>+IF(OR(BS178=0,BS178=1),0,COUNTIF(BS$15:BS178,BS178))</f>
        <v>0</v>
      </c>
      <c r="BS178" s="1039"/>
      <c r="BT178" s="545"/>
    </row>
    <row r="179" spans="2:72" x14ac:dyDescent="0.25">
      <c r="B179" s="338">
        <f>+IF(OR(BS179=0,BS179=1),0,COUNTIF(BS$15:BS179,BS179))</f>
        <v>0</v>
      </c>
      <c r="BS179" s="1039"/>
      <c r="BT179" s="545"/>
    </row>
    <row r="180" spans="2:72" x14ac:dyDescent="0.25">
      <c r="B180" s="338">
        <f>+IF(OR(BS180=0,BS180=1),0,COUNTIF(BS$15:BS180,BS180))</f>
        <v>0</v>
      </c>
      <c r="BS180" s="1039"/>
      <c r="BT180" s="545"/>
    </row>
    <row r="181" spans="2:72" x14ac:dyDescent="0.25">
      <c r="B181" s="338">
        <f>+IF(OR(BS181=0,BS181=1),0,COUNTIF(BS$15:BS181,BS181))</f>
        <v>0</v>
      </c>
      <c r="BS181" s="1039"/>
      <c r="BT181" s="545"/>
    </row>
    <row r="182" spans="2:72" x14ac:dyDescent="0.25">
      <c r="B182" s="338">
        <f>+IF(OR(BS182=0,BS182=1),0,COUNTIF(BS$15:BS182,BS182))</f>
        <v>0</v>
      </c>
      <c r="BS182" s="1039"/>
      <c r="BT182" s="545"/>
    </row>
    <row r="183" spans="2:72" x14ac:dyDescent="0.25">
      <c r="B183" s="338">
        <f>+IF(OR(BS183=0,BS183=1),0,COUNTIF(BS$15:BS183,BS183))</f>
        <v>0</v>
      </c>
      <c r="BS183" s="1039"/>
      <c r="BT183" s="545"/>
    </row>
    <row r="184" spans="2:72" x14ac:dyDescent="0.25">
      <c r="B184" s="338">
        <f>+IF(OR(BS184=0,BS184=1),0,COUNTIF(BS$15:BS184,BS184))</f>
        <v>0</v>
      </c>
      <c r="BS184" s="1039"/>
      <c r="BT184" s="545"/>
    </row>
    <row r="185" spans="2:72" x14ac:dyDescent="0.25">
      <c r="B185" s="338">
        <f>+IF(OR(BS185=0,BS185=1),0,COUNTIF(BS$15:BS185,BS185))</f>
        <v>0</v>
      </c>
      <c r="BS185" s="1039"/>
      <c r="BT185" s="545"/>
    </row>
    <row r="186" spans="2:72" x14ac:dyDescent="0.25">
      <c r="B186" s="338">
        <f>+IF(OR(BS186=0,BS186=1),0,COUNTIF(BS$15:BS186,BS186))</f>
        <v>0</v>
      </c>
      <c r="BS186" s="1039"/>
      <c r="BT186" s="545"/>
    </row>
    <row r="187" spans="2:72" x14ac:dyDescent="0.25">
      <c r="B187" s="338">
        <f>+IF(OR(BS187=0,BS187=1),0,COUNTIF(BS$15:BS187,BS187))</f>
        <v>0</v>
      </c>
      <c r="BS187" s="1039"/>
      <c r="BT187" s="545"/>
    </row>
    <row r="188" spans="2:72" x14ac:dyDescent="0.25">
      <c r="B188" s="338">
        <f>+IF(OR(BS188=0,BS188=1),0,COUNTIF(BS$15:BS188,BS188))</f>
        <v>0</v>
      </c>
      <c r="BS188" s="1039"/>
      <c r="BT188" s="545"/>
    </row>
    <row r="189" spans="2:72" x14ac:dyDescent="0.25">
      <c r="B189" s="338">
        <f>+IF(OR(BS189=0,BS189=1),0,COUNTIF(BS$15:BS189,BS189))</f>
        <v>0</v>
      </c>
      <c r="BS189" s="1039"/>
      <c r="BT189" s="545"/>
    </row>
    <row r="190" spans="2:72" x14ac:dyDescent="0.25">
      <c r="B190" s="338">
        <f>+IF(OR(BS190=0,BS190=1),0,COUNTIF(BS$15:BS190,BS190))</f>
        <v>0</v>
      </c>
      <c r="BS190" s="1039"/>
      <c r="BT190" s="545"/>
    </row>
    <row r="191" spans="2:72" x14ac:dyDescent="0.25">
      <c r="B191" s="338">
        <f>+IF(OR(BS191=0,BS191=1),0,COUNTIF(BS$15:BS191,BS191))</f>
        <v>0</v>
      </c>
      <c r="BS191" s="1039"/>
      <c r="BT191" s="545"/>
    </row>
    <row r="192" spans="2:72" x14ac:dyDescent="0.25">
      <c r="B192" s="338">
        <f>+IF(OR(BS192=0,BS192=1),0,COUNTIF(BS$15:BS192,BS192))</f>
        <v>0</v>
      </c>
      <c r="BS192" s="1039"/>
      <c r="BT192" s="545"/>
    </row>
    <row r="193" spans="2:72" x14ac:dyDescent="0.25">
      <c r="B193" s="338">
        <f>+IF(OR(BS193=0,BS193=1),0,COUNTIF(BS$15:BS193,BS193))</f>
        <v>0</v>
      </c>
      <c r="BS193" s="1039"/>
      <c r="BT193" s="545"/>
    </row>
    <row r="194" spans="2:72" x14ac:dyDescent="0.25">
      <c r="B194" s="338">
        <f>+IF(OR(BS194=0,BS194=1),0,COUNTIF(BS$15:BS194,BS194))</f>
        <v>0</v>
      </c>
      <c r="BS194" s="1039"/>
      <c r="BT194" s="545"/>
    </row>
    <row r="195" spans="2:72" x14ac:dyDescent="0.25">
      <c r="B195" s="338">
        <f>+IF(OR(BS195=0,BS195=1),0,COUNTIF(BS$15:BS195,BS195))</f>
        <v>0</v>
      </c>
      <c r="BS195" s="1039"/>
      <c r="BT195" s="545"/>
    </row>
    <row r="196" spans="2:72" x14ac:dyDescent="0.25">
      <c r="B196" s="338">
        <f>+IF(OR(BS196=0,BS196=1),0,COUNTIF(BS$15:BS196,BS196))</f>
        <v>0</v>
      </c>
      <c r="BS196" s="1039"/>
      <c r="BT196" s="545"/>
    </row>
    <row r="197" spans="2:72" x14ac:dyDescent="0.25">
      <c r="B197" s="338">
        <f>+IF(OR(BS197=0,BS197=1),0,COUNTIF(BS$15:BS197,BS197))</f>
        <v>0</v>
      </c>
      <c r="BS197" s="1039"/>
      <c r="BT197" s="545"/>
    </row>
    <row r="198" spans="2:72" x14ac:dyDescent="0.25">
      <c r="B198" s="338">
        <f>+IF(OR(BS198=0,BS198=1),0,COUNTIF(BS$15:BS198,BS198))</f>
        <v>0</v>
      </c>
      <c r="BS198" s="1039"/>
      <c r="BT198" s="545"/>
    </row>
    <row r="199" spans="2:72" x14ac:dyDescent="0.25">
      <c r="B199" s="338">
        <f>+IF(OR(BS199=0,BS199=1),0,COUNTIF(BS$15:BS199,BS199))</f>
        <v>0</v>
      </c>
      <c r="BS199" s="1039"/>
      <c r="BT199" s="545"/>
    </row>
    <row r="200" spans="2:72" x14ac:dyDescent="0.25">
      <c r="B200" s="338">
        <f>+IF(OR(BS200=0,BS200=1),0,COUNTIF(BS$15:BS200,BS200))</f>
        <v>0</v>
      </c>
      <c r="BS200" s="1039"/>
      <c r="BT200" s="545"/>
    </row>
    <row r="201" spans="2:72" x14ac:dyDescent="0.25">
      <c r="B201" s="338">
        <f>+IF(OR(BS201=0,BS201=1),0,COUNTIF(BS$15:BS201,BS201))</f>
        <v>0</v>
      </c>
      <c r="BS201" s="1039"/>
      <c r="BT201" s="545"/>
    </row>
    <row r="202" spans="2:72" x14ac:dyDescent="0.25">
      <c r="B202" s="338">
        <f>+IF(OR(BS202=0,BS202=1),0,COUNTIF(BS$15:BS202,BS202))</f>
        <v>0</v>
      </c>
      <c r="BS202" s="1039"/>
      <c r="BT202" s="545"/>
    </row>
    <row r="203" spans="2:72" x14ac:dyDescent="0.25">
      <c r="B203" s="338">
        <f>+IF(OR(BS203=0,BS203=1),0,COUNTIF(BS$15:BS203,BS203))</f>
        <v>0</v>
      </c>
      <c r="BS203" s="1039"/>
      <c r="BT203" s="545"/>
    </row>
    <row r="204" spans="2:72" x14ac:dyDescent="0.25">
      <c r="B204" s="338">
        <f>+IF(OR(BS204=0,BS204=1),0,COUNTIF(BS$15:BS204,BS204))</f>
        <v>0</v>
      </c>
      <c r="BS204" s="1039"/>
      <c r="BT204" s="545"/>
    </row>
    <row r="205" spans="2:72" x14ac:dyDescent="0.25">
      <c r="B205" s="338">
        <f>+IF(OR(BS205=0,BS205=1),0,COUNTIF(BS$15:BS205,BS205))</f>
        <v>0</v>
      </c>
      <c r="BS205" s="1039"/>
      <c r="BT205" s="545"/>
    </row>
    <row r="206" spans="2:72" x14ac:dyDescent="0.25">
      <c r="B206" s="338">
        <f>+IF(OR(BS206=0,BS206=1),0,COUNTIF(BS$15:BS206,BS206))</f>
        <v>0</v>
      </c>
      <c r="BS206" s="1039"/>
      <c r="BT206" s="545"/>
    </row>
    <row r="207" spans="2:72" x14ac:dyDescent="0.25">
      <c r="B207" s="338">
        <f>+IF(OR(BS207=0,BS207=1),0,COUNTIF(BS$15:BS207,BS207))</f>
        <v>0</v>
      </c>
      <c r="BS207" s="1039"/>
      <c r="BT207" s="545"/>
    </row>
    <row r="208" spans="2:72" x14ac:dyDescent="0.25">
      <c r="B208" s="338">
        <f>+IF(OR(BS208=0,BS208=1),0,COUNTIF(BS$15:BS208,BS208))</f>
        <v>0</v>
      </c>
      <c r="BS208" s="1039"/>
      <c r="BT208" s="545"/>
    </row>
    <row r="209" spans="2:72" x14ac:dyDescent="0.25">
      <c r="B209" s="338">
        <f>+IF(OR(BS209=0,BS209=1),0,COUNTIF(BS$15:BS209,BS209))</f>
        <v>0</v>
      </c>
      <c r="BS209" s="1039"/>
      <c r="BT209" s="545"/>
    </row>
    <row r="210" spans="2:72" x14ac:dyDescent="0.25">
      <c r="B210" s="338">
        <f>+IF(OR(BS210=0,BS210=1),0,COUNTIF(BS$15:BS210,BS210))</f>
        <v>0</v>
      </c>
      <c r="BS210" s="1039"/>
      <c r="BT210" s="545"/>
    </row>
    <row r="211" spans="2:72" x14ac:dyDescent="0.25">
      <c r="B211" s="338">
        <f>+IF(OR(BS211=0,BS211=1),0,COUNTIF(BS$15:BS211,BS211))</f>
        <v>0</v>
      </c>
      <c r="BS211" s="1039"/>
      <c r="BT211" s="545"/>
    </row>
    <row r="212" spans="2:72" x14ac:dyDescent="0.25">
      <c r="B212" s="338">
        <f>+IF(OR(BS212=0,BS212=1),0,COUNTIF(BS$15:BS212,BS212))</f>
        <v>0</v>
      </c>
      <c r="BS212" s="1039"/>
      <c r="BT212" s="545"/>
    </row>
    <row r="213" spans="2:72" x14ac:dyDescent="0.25">
      <c r="B213" s="338">
        <f>+IF(OR(BS213=0,BS213=1),0,COUNTIF(BS$15:BS213,BS213))</f>
        <v>0</v>
      </c>
      <c r="BS213" s="1039"/>
      <c r="BT213" s="545"/>
    </row>
    <row r="214" spans="2:72" x14ac:dyDescent="0.25">
      <c r="B214" s="338">
        <f>+IF(OR(BS214=0,BS214=1),0,COUNTIF(BS$15:BS214,BS214))</f>
        <v>0</v>
      </c>
      <c r="BS214" s="1039"/>
      <c r="BT214" s="545"/>
    </row>
    <row r="215" spans="2:72" x14ac:dyDescent="0.25">
      <c r="B215" s="338">
        <f>+IF(OR(BS215=0,BS215=1),0,COUNTIF(BS$15:BS215,BS215))</f>
        <v>0</v>
      </c>
      <c r="BS215" s="1039"/>
      <c r="BT215" s="545"/>
    </row>
    <row r="216" spans="2:72" x14ac:dyDescent="0.25">
      <c r="B216" s="338">
        <f>+IF(OR(BS216=0,BS216=1),0,COUNTIF(BS$15:BS216,BS216))</f>
        <v>0</v>
      </c>
      <c r="BS216" s="1039"/>
      <c r="BT216" s="545"/>
    </row>
    <row r="217" spans="2:72" x14ac:dyDescent="0.25">
      <c r="B217" s="338">
        <f>+IF(OR(BS217=0,BS217=1),0,COUNTIF(BS$15:BS217,BS217))</f>
        <v>0</v>
      </c>
      <c r="BS217" s="1039"/>
      <c r="BT217" s="545"/>
    </row>
    <row r="218" spans="2:72" x14ac:dyDescent="0.25">
      <c r="B218" s="338">
        <f>+IF(OR(BS218=0,BS218=1),0,COUNTIF(BS$15:BS218,BS218))</f>
        <v>0</v>
      </c>
      <c r="BS218" s="1039"/>
      <c r="BT218" s="545"/>
    </row>
    <row r="219" spans="2:72" x14ac:dyDescent="0.25">
      <c r="B219" s="338">
        <f>+IF(OR(BS219=0,BS219=1),0,COUNTIF(BS$15:BS219,BS219))</f>
        <v>0</v>
      </c>
      <c r="BS219" s="1039"/>
      <c r="BT219" s="545"/>
    </row>
    <row r="220" spans="2:72" x14ac:dyDescent="0.25">
      <c r="B220" s="338">
        <f>+IF(OR(BS220=0,BS220=1),0,COUNTIF(BS$15:BS220,BS220))</f>
        <v>0</v>
      </c>
      <c r="BS220" s="1039"/>
      <c r="BT220" s="545"/>
    </row>
    <row r="221" spans="2:72" x14ac:dyDescent="0.25">
      <c r="B221" s="338">
        <f>+IF(OR(BS221=0,BS221=1),0,COUNTIF(BS$15:BS221,BS221))</f>
        <v>0</v>
      </c>
      <c r="BS221" s="1039"/>
      <c r="BT221" s="545"/>
    </row>
    <row r="222" spans="2:72" x14ac:dyDescent="0.25">
      <c r="B222" s="338">
        <f>+IF(OR(BS222=0,BS222=1),0,COUNTIF(BS$15:BS222,BS222))</f>
        <v>0</v>
      </c>
      <c r="BS222" s="1039"/>
      <c r="BT222" s="545"/>
    </row>
    <row r="223" spans="2:72" x14ac:dyDescent="0.25">
      <c r="B223" s="338">
        <f>+IF(OR(BS223=0,BS223=1),0,COUNTIF(BS$15:BS223,BS223))</f>
        <v>0</v>
      </c>
      <c r="BS223" s="1039"/>
      <c r="BT223" s="545"/>
    </row>
    <row r="224" spans="2:72" x14ac:dyDescent="0.25">
      <c r="B224" s="338">
        <f>+IF(OR(BS224=0,BS224=1),0,COUNTIF(BS$15:BS224,BS224))</f>
        <v>0</v>
      </c>
      <c r="BS224" s="1039"/>
      <c r="BT224" s="545"/>
    </row>
    <row r="225" spans="2:72" x14ac:dyDescent="0.25">
      <c r="B225" s="338">
        <f>+IF(OR(BS225=0,BS225=1),0,COUNTIF(BS$15:BS225,BS225))</f>
        <v>0</v>
      </c>
      <c r="BS225" s="1039"/>
      <c r="BT225" s="545"/>
    </row>
    <row r="226" spans="2:72" x14ac:dyDescent="0.25">
      <c r="B226" s="338">
        <f>+IF(OR(BS226=0,BS226=1),0,COUNTIF(BS$15:BS226,BS226))</f>
        <v>0</v>
      </c>
      <c r="BS226" s="1039"/>
      <c r="BT226" s="545"/>
    </row>
    <row r="227" spans="2:72" x14ac:dyDescent="0.25">
      <c r="B227" s="338">
        <f>+IF(OR(BS227=0,BS227=1),0,COUNTIF(BS$15:BS227,BS227))</f>
        <v>0</v>
      </c>
      <c r="BS227" s="1039"/>
      <c r="BT227" s="545"/>
    </row>
    <row r="228" spans="2:72" x14ac:dyDescent="0.25">
      <c r="B228" s="338">
        <f>+IF(OR(BS228=0,BS228=1),0,COUNTIF(BS$15:BS228,BS228))</f>
        <v>0</v>
      </c>
      <c r="BS228" s="1039"/>
      <c r="BT228" s="545"/>
    </row>
    <row r="229" spans="2:72" x14ac:dyDescent="0.25">
      <c r="B229" s="338">
        <f>+IF(OR(BS229=0,BS229=1),0,COUNTIF(BS$15:BS229,BS229))</f>
        <v>0</v>
      </c>
      <c r="BS229" s="1039"/>
      <c r="BT229" s="545"/>
    </row>
    <row r="230" spans="2:72" x14ac:dyDescent="0.25">
      <c r="B230" s="338">
        <f>+IF(OR(BS230=0,BS230=1),0,COUNTIF(BS$15:BS230,BS230))</f>
        <v>0</v>
      </c>
      <c r="BS230" s="1039"/>
      <c r="BT230" s="545"/>
    </row>
    <row r="231" spans="2:72" x14ac:dyDescent="0.25">
      <c r="B231" s="338">
        <f>+IF(OR(BS231=0,BS231=1),0,COUNTIF(BS$15:BS231,BS231))</f>
        <v>0</v>
      </c>
      <c r="BS231" s="1039"/>
      <c r="BT231" s="545"/>
    </row>
    <row r="232" spans="2:72" x14ac:dyDescent="0.25">
      <c r="B232" s="338">
        <f>+IF(OR(BS232=0,BS232=1),0,COUNTIF(BS$15:BS232,BS232))</f>
        <v>0</v>
      </c>
      <c r="BS232" s="1039"/>
      <c r="BT232" s="545"/>
    </row>
    <row r="233" spans="2:72" x14ac:dyDescent="0.25">
      <c r="B233" s="338">
        <f>+IF(OR(BS233=0,BS233=1),0,COUNTIF(BS$15:BS233,BS233))</f>
        <v>0</v>
      </c>
      <c r="BS233" s="1039"/>
      <c r="BT233" s="545"/>
    </row>
    <row r="234" spans="2:72" x14ac:dyDescent="0.25">
      <c r="B234" s="338">
        <f>+IF(OR(BS234=0,BS234=1),0,COUNTIF(BS$15:BS234,BS234))</f>
        <v>0</v>
      </c>
      <c r="BS234" s="1039"/>
      <c r="BT234" s="545"/>
    </row>
    <row r="235" spans="2:72" x14ac:dyDescent="0.25">
      <c r="B235" s="338">
        <f>+IF(OR(BS235=0,BS235=1),0,COUNTIF(BS$15:BS235,BS235))</f>
        <v>0</v>
      </c>
      <c r="BS235" s="1039"/>
      <c r="BT235" s="545"/>
    </row>
    <row r="236" spans="2:72" x14ac:dyDescent="0.25">
      <c r="B236" s="338">
        <f>+IF(OR(BS236=0,BS236=1),0,COUNTIF(BS$15:BS236,BS236))</f>
        <v>0</v>
      </c>
      <c r="BS236" s="1039"/>
      <c r="BT236" s="545"/>
    </row>
    <row r="237" spans="2:72" x14ac:dyDescent="0.25">
      <c r="B237" s="338">
        <f>+IF(OR(BS237=0,BS237=1),0,COUNTIF(BS$15:BS237,BS237))</f>
        <v>0</v>
      </c>
      <c r="BS237" s="1039"/>
      <c r="BT237" s="545"/>
    </row>
    <row r="238" spans="2:72" x14ac:dyDescent="0.25">
      <c r="B238" s="338">
        <f>+IF(OR(BS238=0,BS238=1),0,COUNTIF(BS$15:BS238,BS238))</f>
        <v>0</v>
      </c>
      <c r="BS238" s="1039"/>
      <c r="BT238" s="545"/>
    </row>
    <row r="239" spans="2:72" x14ac:dyDescent="0.25">
      <c r="B239" s="338">
        <f>+IF(OR(BS239=0,BS239=1),0,COUNTIF(BS$15:BS239,BS239))</f>
        <v>0</v>
      </c>
      <c r="BS239" s="1039"/>
      <c r="BT239" s="545"/>
    </row>
    <row r="240" spans="2:72" x14ac:dyDescent="0.25">
      <c r="B240" s="338">
        <f>+IF(OR(BS240=0,BS240=1),0,COUNTIF(BS$15:BS240,BS240))</f>
        <v>0</v>
      </c>
      <c r="BS240" s="1039"/>
      <c r="BT240" s="545"/>
    </row>
    <row r="241" spans="2:72" x14ac:dyDescent="0.25">
      <c r="B241" s="338">
        <f>+IF(OR(BS241=0,BS241=1),0,COUNTIF(BS$15:BS241,BS241))</f>
        <v>0</v>
      </c>
      <c r="BS241" s="1039"/>
      <c r="BT241" s="545"/>
    </row>
    <row r="242" spans="2:72" x14ac:dyDescent="0.25">
      <c r="B242" s="338">
        <f>+IF(OR(BS242=0,BS242=1),0,COUNTIF(BS$15:BS242,BS242))</f>
        <v>0</v>
      </c>
      <c r="BS242" s="1039"/>
      <c r="BT242" s="545"/>
    </row>
    <row r="243" spans="2:72" x14ac:dyDescent="0.25">
      <c r="B243" s="338">
        <f>+IF(OR(BS243=0,BS243=1),0,COUNTIF(BS$15:BS243,BS243))</f>
        <v>0</v>
      </c>
      <c r="BS243" s="1039"/>
      <c r="BT243" s="545"/>
    </row>
    <row r="244" spans="2:72" x14ac:dyDescent="0.25">
      <c r="B244" s="338">
        <f>+IF(OR(BS244=0,BS244=1),0,COUNTIF(BS$15:BS244,BS244))</f>
        <v>0</v>
      </c>
      <c r="BS244" s="1039"/>
      <c r="BT244" s="545"/>
    </row>
    <row r="245" spans="2:72" x14ac:dyDescent="0.25">
      <c r="B245" s="338">
        <f>+IF(OR(BS245=0,BS245=1),0,COUNTIF(BS$15:BS245,BS245))</f>
        <v>0</v>
      </c>
      <c r="BS245" s="1039"/>
      <c r="BT245" s="545"/>
    </row>
    <row r="246" spans="2:72" x14ac:dyDescent="0.25">
      <c r="B246" s="338">
        <f>+IF(OR(BS246=0,BS246=1),0,COUNTIF(BS$15:BS246,BS246))</f>
        <v>0</v>
      </c>
      <c r="BS246" s="1039"/>
      <c r="BT246" s="545"/>
    </row>
    <row r="247" spans="2:72" x14ac:dyDescent="0.25">
      <c r="B247" s="338">
        <f>+IF(OR(BS247=0,BS247=1),0,COUNTIF(BS$15:BS247,BS247))</f>
        <v>0</v>
      </c>
      <c r="BS247" s="1039"/>
      <c r="BT247" s="545"/>
    </row>
    <row r="248" spans="2:72" x14ac:dyDescent="0.25">
      <c r="B248" s="338">
        <f>+IF(OR(BS248=0,BS248=1),0,COUNTIF(BS$15:BS248,BS248))</f>
        <v>0</v>
      </c>
      <c r="BS248" s="1039"/>
      <c r="BT248" s="545"/>
    </row>
    <row r="249" spans="2:72" x14ac:dyDescent="0.25">
      <c r="B249" s="338">
        <f>+IF(OR(BS249=0,BS249=1),0,COUNTIF(BS$15:BS249,BS249))</f>
        <v>0</v>
      </c>
      <c r="BS249" s="1039"/>
      <c r="BT249" s="545"/>
    </row>
    <row r="250" spans="2:72" x14ac:dyDescent="0.25">
      <c r="B250" s="338">
        <f>+IF(OR(BS250=0,BS250=1),0,COUNTIF(BS$15:BS250,BS250))</f>
        <v>0</v>
      </c>
      <c r="BS250" s="1039"/>
      <c r="BT250" s="545"/>
    </row>
    <row r="251" spans="2:72" x14ac:dyDescent="0.25">
      <c r="B251" s="338">
        <f>+IF(OR(BS251=0,BS251=1),0,COUNTIF(BS$15:BS251,BS251))</f>
        <v>0</v>
      </c>
      <c r="BS251" s="1039"/>
      <c r="BT251" s="545"/>
    </row>
    <row r="252" spans="2:72" x14ac:dyDescent="0.25">
      <c r="B252" s="338">
        <f>+IF(OR(BS252=0,BS252=1),0,COUNTIF(BS$15:BS252,BS252))</f>
        <v>0</v>
      </c>
      <c r="BS252" s="1039"/>
      <c r="BT252" s="545"/>
    </row>
    <row r="253" spans="2:72" x14ac:dyDescent="0.25">
      <c r="B253" s="338">
        <f>+IF(OR(BS253=0,BS253=1),0,COUNTIF(BS$15:BS253,BS253))</f>
        <v>0</v>
      </c>
      <c r="BS253" s="1039"/>
      <c r="BT253" s="545"/>
    </row>
    <row r="254" spans="2:72" x14ac:dyDescent="0.25">
      <c r="B254" s="338">
        <f>+IF(OR(BS254=0,BS254=1),0,COUNTIF(BS$15:BS254,BS254))</f>
        <v>0</v>
      </c>
      <c r="BS254" s="1039"/>
      <c r="BT254" s="545"/>
    </row>
    <row r="255" spans="2:72" x14ac:dyDescent="0.25">
      <c r="B255" s="338">
        <f>+IF(OR(BS255=0,BS255=1),0,COUNTIF(BS$15:BS255,BS255))</f>
        <v>0</v>
      </c>
      <c r="BS255" s="1039"/>
      <c r="BT255" s="545"/>
    </row>
    <row r="256" spans="2:72" x14ac:dyDescent="0.25">
      <c r="B256" s="338">
        <f>+IF(OR(BS256=0,BS256=1),0,COUNTIF(BS$15:BS256,BS256))</f>
        <v>0</v>
      </c>
      <c r="BS256" s="1039"/>
      <c r="BT256" s="545"/>
    </row>
    <row r="257" spans="2:72" x14ac:dyDescent="0.25">
      <c r="B257" s="338">
        <f>+IF(OR(BS257=0,BS257=1),0,COUNTIF(BS$15:BS257,BS257))</f>
        <v>0</v>
      </c>
      <c r="BS257" s="1039"/>
      <c r="BT257" s="545"/>
    </row>
    <row r="258" spans="2:72" x14ac:dyDescent="0.25">
      <c r="B258" s="338">
        <f>+IF(OR(BS258=0,BS258=1),0,COUNTIF(BS$15:BS258,BS258))</f>
        <v>0</v>
      </c>
      <c r="BS258" s="1039"/>
      <c r="BT258" s="545"/>
    </row>
    <row r="259" spans="2:72" x14ac:dyDescent="0.25">
      <c r="B259" s="338">
        <f>+IF(OR(BS259=0,BS259=1),0,COUNTIF(BS$15:BS259,BS259))</f>
        <v>0</v>
      </c>
      <c r="BS259" s="1039"/>
      <c r="BT259" s="545"/>
    </row>
    <row r="260" spans="2:72" x14ac:dyDescent="0.25">
      <c r="B260" s="338">
        <f>+IF(OR(BS260=0,BS260=1),0,COUNTIF(BS$15:BS260,BS260))</f>
        <v>0</v>
      </c>
      <c r="BS260" s="1039"/>
      <c r="BT260" s="545"/>
    </row>
    <row r="261" spans="2:72" x14ac:dyDescent="0.25">
      <c r="B261" s="338">
        <f>+IF(OR(BS261=0,BS261=1),0,COUNTIF(BS$15:BS261,BS261))</f>
        <v>0</v>
      </c>
      <c r="BS261" s="1039"/>
      <c r="BT261" s="545"/>
    </row>
    <row r="262" spans="2:72" x14ac:dyDescent="0.25">
      <c r="B262" s="338">
        <f>+IF(OR(BS262=0,BS262=1),0,COUNTIF(BS$15:BS262,BS262))</f>
        <v>0</v>
      </c>
      <c r="BS262" s="1039"/>
      <c r="BT262" s="545"/>
    </row>
    <row r="263" spans="2:72" x14ac:dyDescent="0.25">
      <c r="B263" s="338">
        <f>+IF(OR(BS263=0,BS263=1),0,COUNTIF(BS$15:BS263,BS263))</f>
        <v>0</v>
      </c>
      <c r="BS263" s="1039"/>
      <c r="BT263" s="545"/>
    </row>
    <row r="264" spans="2:72" x14ac:dyDescent="0.25">
      <c r="B264" s="338">
        <f>+IF(OR(BS264=0,BS264=1),0,COUNTIF(BS$15:BS264,BS264))</f>
        <v>0</v>
      </c>
      <c r="BS264" s="1039"/>
      <c r="BT264" s="545"/>
    </row>
    <row r="1048235" spans="8:71" s="545" customFormat="1" ht="13.2" x14ac:dyDescent="0.25">
      <c r="H1048235" s="556"/>
      <c r="I1048235" s="556"/>
      <c r="AG1048235" s="547" t="e">
        <f>SQRT(0.0297*LOG10((150+234)/(90+234))/S1048235)*LOOKUP(BI1048235,CONDUCTORES!$A$9:$A$62,CONDUCTORES!$W$9:$W$62)</f>
        <v>#DIV/0!</v>
      </c>
      <c r="BA1048235" s="615"/>
      <c r="BB1048235" s="615"/>
      <c r="BC1048235" s="615"/>
      <c r="BD1048235" s="615"/>
      <c r="BE1048235" s="615"/>
      <c r="BF1048235" s="615"/>
      <c r="BG1048235" s="615"/>
      <c r="BH1048235" s="615"/>
      <c r="BI1048235" s="615"/>
      <c r="BJ1048235" s="615"/>
      <c r="BK1048235" s="615"/>
      <c r="BL1048235" s="615"/>
      <c r="BM1048235" s="615"/>
      <c r="BN1048235" s="615"/>
      <c r="BO1048235" s="615"/>
      <c r="BP1048235" s="615"/>
      <c r="BQ1048235" s="615"/>
      <c r="BR1048235" s="615"/>
      <c r="BS1048235" s="615"/>
    </row>
  </sheetData>
  <sheetProtection formatCells="0" formatColumns="0" formatRows="0" insertRows="0" deleteRows="0" sort="0" autoFilter="0"/>
  <dataConsolidate/>
  <mergeCells count="103">
    <mergeCell ref="BK16:BM16"/>
    <mergeCell ref="BK17:BM17"/>
    <mergeCell ref="BH17:BJ17"/>
    <mergeCell ref="AT9:AT14"/>
    <mergeCell ref="AX9:AX14"/>
    <mergeCell ref="BM13:BM14"/>
    <mergeCell ref="BK11:BM12"/>
    <mergeCell ref="BJ11:BJ12"/>
    <mergeCell ref="BA11:BA14"/>
    <mergeCell ref="BC11:BC14"/>
    <mergeCell ref="BD11:BD14"/>
    <mergeCell ref="BE11:BE14"/>
    <mergeCell ref="BF11:BF14"/>
    <mergeCell ref="BB11:BB14"/>
    <mergeCell ref="BG13:BG14"/>
    <mergeCell ref="BH16:BJ16"/>
    <mergeCell ref="BI12:BI14"/>
    <mergeCell ref="BH9:BR10"/>
    <mergeCell ref="AV16:AW16"/>
    <mergeCell ref="BN11:BN14"/>
    <mergeCell ref="BH11:BH14"/>
    <mergeCell ref="BQ11:BQ14"/>
    <mergeCell ref="BP11:BP14"/>
    <mergeCell ref="AR6:AS6"/>
    <mergeCell ref="AU6:AX6"/>
    <mergeCell ref="AR9:AR14"/>
    <mergeCell ref="AS9:AS13"/>
    <mergeCell ref="AH6:AI6"/>
    <mergeCell ref="AP9:AQ10"/>
    <mergeCell ref="AP13:AP14"/>
    <mergeCell ref="AQ13:AQ14"/>
    <mergeCell ref="AO13:AO14"/>
    <mergeCell ref="AI9:AI14"/>
    <mergeCell ref="AJ9:AJ14"/>
    <mergeCell ref="AN13:AN14"/>
    <mergeCell ref="AL9:AL14"/>
    <mergeCell ref="AH9:AH14"/>
    <mergeCell ref="AK9:AK14"/>
    <mergeCell ref="AN11:AO12"/>
    <mergeCell ref="AN6:AQ6"/>
    <mergeCell ref="AM9:AM14"/>
    <mergeCell ref="AP11:AQ12"/>
    <mergeCell ref="AN9:AO10"/>
    <mergeCell ref="AV9:AV14"/>
    <mergeCell ref="AW9:AW14"/>
    <mergeCell ref="AU9:AU14"/>
    <mergeCell ref="AJ6:AM6"/>
    <mergeCell ref="AY6:AZ6"/>
    <mergeCell ref="AZ9:AZ14"/>
    <mergeCell ref="BS11:BS13"/>
    <mergeCell ref="BR11:BR14"/>
    <mergeCell ref="BJ13:BJ14"/>
    <mergeCell ref="BK13:BK14"/>
    <mergeCell ref="BL13:BL14"/>
    <mergeCell ref="BO11:BO14"/>
    <mergeCell ref="BF9:BG9"/>
    <mergeCell ref="AY9:AY14"/>
    <mergeCell ref="D17:AG17"/>
    <mergeCell ref="J9:K10"/>
    <mergeCell ref="L9:L14"/>
    <mergeCell ref="J11:J13"/>
    <mergeCell ref="K11:K14"/>
    <mergeCell ref="T9:T14"/>
    <mergeCell ref="U9:U14"/>
    <mergeCell ref="V9:V14"/>
    <mergeCell ref="W9:W13"/>
    <mergeCell ref="Y10:Y14"/>
    <mergeCell ref="X9:Z9"/>
    <mergeCell ref="C16:AG16"/>
    <mergeCell ref="D15:AG15"/>
    <mergeCell ref="AC9:AC13"/>
    <mergeCell ref="AD9:AD13"/>
    <mergeCell ref="AG9:AG13"/>
    <mergeCell ref="C9:C14"/>
    <mergeCell ref="D9:D14"/>
    <mergeCell ref="E9:E14"/>
    <mergeCell ref="H9:I14"/>
    <mergeCell ref="G9:G13"/>
    <mergeCell ref="F9:F14"/>
    <mergeCell ref="AA12:AA14"/>
    <mergeCell ref="AA9:AB11"/>
    <mergeCell ref="AB12:AB14"/>
    <mergeCell ref="F3:AG3"/>
    <mergeCell ref="F2:AG2"/>
    <mergeCell ref="G4:AG4"/>
    <mergeCell ref="AE9:AE13"/>
    <mergeCell ref="AF9:AF14"/>
    <mergeCell ref="O9:O13"/>
    <mergeCell ref="P9:P13"/>
    <mergeCell ref="N9:N13"/>
    <mergeCell ref="M9:M14"/>
    <mergeCell ref="Z10:Z14"/>
    <mergeCell ref="X10:X14"/>
    <mergeCell ref="S9:S14"/>
    <mergeCell ref="R11:R13"/>
    <mergeCell ref="Q11:Q13"/>
    <mergeCell ref="Q9:R10"/>
    <mergeCell ref="AF5:AG5"/>
    <mergeCell ref="G5:K5"/>
    <mergeCell ref="L5:P5"/>
    <mergeCell ref="Q5:U5"/>
    <mergeCell ref="V5:Z5"/>
    <mergeCell ref="AA5:AE5"/>
  </mergeCells>
  <phoneticPr fontId="20" type="noConversion"/>
  <conditionalFormatting sqref="AD18:AE18">
    <cfRule type="cellIs" dxfId="55" priority="494" stopIfTrue="1" operator="greaterThan">
      <formula>$AD$14*100</formula>
    </cfRule>
  </conditionalFormatting>
  <conditionalFormatting sqref="BF18:BG18 AA18">
    <cfRule type="cellIs" dxfId="54" priority="496" stopIfTrue="1" operator="equal">
      <formula>"NO"</formula>
    </cfRule>
  </conditionalFormatting>
  <conditionalFormatting sqref="AX18 AZ18 AH18">
    <cfRule type="expression" dxfId="53" priority="495">
      <formula>$BF18="No"</formula>
    </cfRule>
  </conditionalFormatting>
  <conditionalFormatting sqref="AC18">
    <cfRule type="cellIs" dxfId="52" priority="493" operator="lessThan">
      <formula>$O18</formula>
    </cfRule>
  </conditionalFormatting>
  <conditionalFormatting sqref="AN18:AO18">
    <cfRule type="expression" dxfId="51" priority="491">
      <formula>OR($X18="BANDEJA",$X18="TUBO",$X18="BLINDOBARRA",$X18="AÉREO")</formula>
    </cfRule>
  </conditionalFormatting>
  <conditionalFormatting sqref="AP18:AQ18">
    <cfRule type="expression" dxfId="50" priority="490">
      <formula>OR($X18="BANCO DE DUCTOS",$X18="TUBO",$X18="BLINDOBARRA",$X18="AÉREO")</formula>
    </cfRule>
  </conditionalFormatting>
  <conditionalFormatting sqref="AV18">
    <cfRule type="expression" dxfId="49" priority="489">
      <formula>$AV18&lt;10</formula>
    </cfRule>
  </conditionalFormatting>
  <conditionalFormatting sqref="U18">
    <cfRule type="expression" dxfId="48" priority="481">
      <formula>$AV18&lt;10</formula>
    </cfRule>
  </conditionalFormatting>
  <conditionalFormatting sqref="AK18">
    <cfRule type="expression" dxfId="47" priority="238">
      <formula>OR($AJ18="Monopolar",$AJ18="Cable Armado",$AJ18="Desnudo")</formula>
    </cfRule>
  </conditionalFormatting>
  <dataValidations count="7">
    <dataValidation type="list" allowBlank="1" showInputMessage="1" showErrorMessage="1" sqref="X18" xr:uid="{FC80A4E5-8711-40B5-AB05-8E07A6B444C7}">
      <formula1>RUTA_ELÉCTRICA</formula1>
    </dataValidation>
    <dataValidation type="list" allowBlank="1" showInputMessage="1" showErrorMessage="1" sqref="I18" xr:uid="{14C41B9B-C4DA-4CF5-9859-A2C5F194888D}">
      <formula1>TIPO_DE_CARGA</formula1>
    </dataValidation>
    <dataValidation type="list" allowBlank="1" showInputMessage="1" showErrorMessage="1" sqref="K18" xr:uid="{3F5E763D-D4F9-4921-8E9B-2CEC4CAB2925}">
      <formula1>No_de_Fases</formula1>
    </dataValidation>
    <dataValidation type="list" allowBlank="1" showInputMessage="1" showErrorMessage="1" sqref="AL18" xr:uid="{8E07CB32-3D42-4241-8A1B-44862152DEEB}">
      <formula1>TIPO_MATERIAL_CABLE</formula1>
    </dataValidation>
    <dataValidation type="list" allowBlank="1" showInputMessage="1" showErrorMessage="1" sqref="AP18" xr:uid="{B8120858-F756-49EE-819B-E9484CC627B9}">
      <formula1>TAPA_BANDEJA</formula1>
    </dataValidation>
    <dataValidation type="list" allowBlank="1" showInputMessage="1" showErrorMessage="1" sqref="AQ18" xr:uid="{7B82C8E2-E1E5-421C-A0CB-D32DAF3DE824}">
      <formula1>SEPARACION_CONDUCTORES</formula1>
    </dataValidation>
    <dataValidation type="list" allowBlank="1" showInputMessage="1" showErrorMessage="1" sqref="AL18" xr:uid="{23856BA3-F211-4B64-80FD-F8A452972A9C}">
      <formula1>TIPO_AISLAMIENTO+TIPO_MATERIAL_CABLE</formula1>
    </dataValidation>
  </dataValidations>
  <printOptions horizontalCentered="1"/>
  <pageMargins left="0" right="7.874015748031496E-2" top="0" bottom="0.94488188976377963" header="0" footer="0"/>
  <pageSetup scale="40" fitToHeight="0" orientation="landscape" r:id="rId1"/>
  <headerFooter scaleWithDoc="0">
    <oddFooter xml:space="preserve">&amp;L&amp;"Cambria,Normal"&amp;8    &amp;"Century Gothic,Normal"  Código cliente: DNC-02208-ELE-MC-000001
     Código interno: -
&amp;C&amp;"Century Gothic,Normal"&amp;8
&amp;R&amp;"Century Gothic,Normal"&amp;8&amp;K000000Página &amp;P de &amp;N&amp;K00+000     __
</oddFooter>
  </headerFooter>
  <drawing r:id="rId2"/>
  <legacyDrawing r:id="rId3"/>
  <extLst>
    <ext xmlns:x14="http://schemas.microsoft.com/office/spreadsheetml/2009/9/main" uri="{CCE6A557-97BC-4b89-ADB6-D9C93CAAB3DF}">
      <x14:dataValidations xmlns:xm="http://schemas.microsoft.com/office/excel/2006/main" count="21">
        <x14:dataValidation type="list" allowBlank="1" showInputMessage="1" showErrorMessage="1" xr:uid="{B96030C1-2704-4665-B92C-816DDBC78CB3}">
          <x14:formula1>
            <xm:f>Listas!$A$41:$A$44</xm:f>
          </x14:formula1>
          <xm:sqref>P9</xm:sqref>
        </x14:dataValidation>
        <x14:dataValidation type="list" allowBlank="1" showInputMessage="1" showErrorMessage="1" xr:uid="{87E9433B-4869-4FCA-A793-46FF62342989}">
          <x14:formula1>
            <xm:f>Listas!$E$1:$E$3</xm:f>
          </x14:formula1>
          <xm:sqref>L16</xm:sqref>
        </x14:dataValidation>
        <x14:dataValidation type="list" allowBlank="1" showInputMessage="1" showErrorMessage="1" xr:uid="{3CA6476B-193C-4620-897E-1415DF9CFE34}">
          <x14:formula1>
            <xm:f>Listas!$S$12</xm:f>
          </x14:formula1>
          <xm:sqref>AT16</xm:sqref>
        </x14:dataValidation>
        <x14:dataValidation type="list" allowBlank="1" showInputMessage="1" showErrorMessage="1" xr:uid="{ACC55F11-D308-46EB-A54F-114618EED836}">
          <x14:formula1>
            <xm:f>Listas!$S$2:$S$11</xm:f>
          </x14:formula1>
          <xm:sqref>AQ16</xm:sqref>
        </x14:dataValidation>
        <x14:dataValidation type="list" allowBlank="1" showInputMessage="1" showErrorMessage="1" xr:uid="{C27F0460-E870-4754-B120-08B9920FC302}">
          <x14:formula1>
            <xm:f>Listas!$S$20:$S$23</xm:f>
          </x14:formula1>
          <xm:sqref>AS16</xm:sqref>
        </x14:dataValidation>
        <x14:dataValidation type="list" allowBlank="1" showInputMessage="1" showErrorMessage="1" xr:uid="{3F8F7C27-609A-44B9-B2BF-78A4890CA186}">
          <x14:formula1>
            <xm:f>Listas!$H$1:$H$2</xm:f>
          </x14:formula1>
          <xm:sqref>S16</xm:sqref>
        </x14:dataValidation>
        <x14:dataValidation type="list" allowBlank="1" showInputMessage="1" showErrorMessage="1" xr:uid="{C5CEBF6C-F78F-4E2F-BDC4-BC19B7315B96}">
          <x14:formula1>
            <xm:f>Listas!$G$2:$G$15</xm:f>
          </x14:formula1>
          <xm:sqref>U16</xm:sqref>
        </x14:dataValidation>
        <x14:dataValidation type="list" allowBlank="1" showInputMessage="1" showErrorMessage="1" xr:uid="{A410D1F1-63B8-4D7C-8F9C-7A898365E2B9}">
          <x14:formula1>
            <xm:f>Listas!$I$1:$I$6</xm:f>
          </x14:formula1>
          <xm:sqref>W16</xm:sqref>
        </x14:dataValidation>
        <x14:dataValidation type="list" allowBlank="1" showInputMessage="1" showErrorMessage="1" xr:uid="{DDA8F876-C400-4B02-9131-FC7C25C0BA1E}">
          <x14:formula1>
            <xm:f>Listas!$E$5:$E$7</xm:f>
          </x14:formula1>
          <xm:sqref>V16</xm:sqref>
        </x14:dataValidation>
        <x14:dataValidation type="list" allowBlank="1" showInputMessage="1" showErrorMessage="1" xr:uid="{352F3ACB-28BB-4196-BFBA-7DD4FCA702E1}">
          <x14:formula1>
            <xm:f>Listas!$C$1:$C$3</xm:f>
          </x14:formula1>
          <xm:sqref>M16</xm:sqref>
        </x14:dataValidation>
        <x14:dataValidation type="list" allowBlank="1" showInputMessage="1" showErrorMessage="1" xr:uid="{F9770E80-556D-4FDD-A91C-44478ABDBDF7}">
          <x14:formula1>
            <xm:f>CONDUCTORES!$D$87:$D$89</xm:f>
          </x14:formula1>
          <xm:sqref>AK18</xm:sqref>
        </x14:dataValidation>
        <x14:dataValidation type="list" allowBlank="1" showInputMessage="1" showErrorMessage="1" xr:uid="{24259DF9-620D-4DC3-973A-653AD148B0F8}">
          <x14:formula1>
            <xm:f>CONDUCTORES!$A$84:$A$93</xm:f>
          </x14:formula1>
          <xm:sqref>AW18 AI18</xm:sqref>
        </x14:dataValidation>
        <x14:dataValidation type="list" allowBlank="1" showInputMessage="1" showErrorMessage="1" xr:uid="{FB9A7429-3A3D-447A-9A35-5FCBAB025C16}">
          <x14:formula1>
            <xm:f>Listas!$C$2:$C$3</xm:f>
          </x14:formula1>
          <xm:sqref>AU18</xm:sqref>
        </x14:dataValidation>
        <x14:dataValidation type="list" allowBlank="1" showInputMessage="1" showErrorMessage="1" xr:uid="{DA8CDC6C-5EC1-40FF-A04C-9879BC0AA844}">
          <x14:formula1>
            <xm:f>'CONDCUTORES MT'!$A$109:$A$127</xm:f>
          </x14:formula1>
          <xm:sqref>AA18</xm:sqref>
        </x14:dataValidation>
        <x14:dataValidation type="list" allowBlank="1" showInputMessage="1" showErrorMessage="1" xr:uid="{397317D5-DA23-42FB-822D-F94AE7584D43}">
          <x14:formula1>
            <xm:f>'CONDCUTORES MT'!$H$59:$H$65</xm:f>
          </x14:formula1>
          <xm:sqref>AT18 AY18</xm:sqref>
        </x14:dataValidation>
        <x14:dataValidation type="list" allowBlank="1" showInputMessage="1" showErrorMessage="1" xr:uid="{094E797A-11C6-4D9E-A373-73293D119CDF}">
          <x14:formula1>
            <xm:f>Listas!$O$2:$O$9</xm:f>
          </x14:formula1>
          <xm:sqref>J18</xm:sqref>
        </x14:dataValidation>
        <x14:dataValidation type="list" allowBlank="1" showInputMessage="1" showErrorMessage="1" xr:uid="{A320DC77-C126-4919-8C70-2206C741F10C}">
          <x14:formula1>
            <xm:f>'CONDCUTORES MT'!$E$108:$E$123</xm:f>
          </x14:formula1>
          <xm:sqref>AX18 AZ18</xm:sqref>
        </x14:dataValidation>
        <x14:dataValidation type="list" allowBlank="1" showInputMessage="1" showErrorMessage="1" xr:uid="{C9705F7A-E908-4ECE-B5B7-E70B9CB0E36B}">
          <x14:formula1>
            <xm:f>Listas!$U$1:$U$8</xm:f>
          </x14:formula1>
          <xm:sqref>AR18</xm:sqref>
        </x14:dataValidation>
        <x14:dataValidation type="list" allowBlank="1" showInputMessage="1" showErrorMessage="1" xr:uid="{F1EFACBC-B9BA-420C-ADA0-4242168EFA60}">
          <x14:formula1>
            <xm:f>Listas!$P$22:$P$26</xm:f>
          </x14:formula1>
          <xm:sqref>AM18</xm:sqref>
        </x14:dataValidation>
        <x14:dataValidation type="list" allowBlank="1" showInputMessage="1" showErrorMessage="1" xr:uid="{1A564CC3-3E86-4F1E-B3E8-3F0B82FCAFB1}">
          <x14:formula1>
            <xm:f>CONDUCTORES!$F$84:$F$86</xm:f>
          </x14:formula1>
          <xm:sqref>AJ18</xm:sqref>
        </x14:dataValidation>
        <x14:dataValidation type="list" allowBlank="1" showInputMessage="1" showErrorMessage="1" xr:uid="{E166F54E-41FD-4BA1-8583-BFA6691701C9}">
          <x14:formula1>
            <xm:f>IF($AJ18="Desnudo",'CONDCUTORES MT'!$B$7:$B$15,IF($AR18="M",CONDUCTORES!$I$85:$I$91,IF($AJ18="Monopolar",CONDUCTORES!$B$15:$B$23,'CONDCUTORES MT'!$B$83:$B$86)))</xm:f>
          </x14:formula1>
          <xm:sqref>AH18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AN161"/>
  <sheetViews>
    <sheetView topLeftCell="A10" zoomScaleNormal="100" workbookViewId="0">
      <selection activeCell="O41" sqref="O41"/>
    </sheetView>
  </sheetViews>
  <sheetFormatPr baseColWidth="10" defaultColWidth="11.44140625" defaultRowHeight="13.2" x14ac:dyDescent="0.25"/>
  <cols>
    <col min="1" max="1" width="18.109375" customWidth="1"/>
    <col min="4" max="4" width="13.88671875" customWidth="1"/>
    <col min="8" max="8" width="22.44140625" customWidth="1"/>
    <col min="10" max="10" width="11.44140625" style="322" customWidth="1"/>
    <col min="13" max="16" width="18" customWidth="1"/>
    <col min="17" max="17" width="16.5546875" style="54" customWidth="1"/>
    <col min="20" max="20" width="37.5546875" customWidth="1"/>
    <col min="21" max="21" width="28.109375" style="54" customWidth="1"/>
    <col min="22" max="22" width="6.44140625" style="54" bestFit="1" customWidth="1"/>
    <col min="24" max="24" width="6.5546875" customWidth="1"/>
    <col min="26" max="26" width="6.44140625" customWidth="1"/>
    <col min="29" max="29" width="8.5546875" style="54" customWidth="1"/>
  </cols>
  <sheetData>
    <row r="1" spans="1:40" x14ac:dyDescent="0.25">
      <c r="E1" t="s">
        <v>615</v>
      </c>
      <c r="M1" t="s">
        <v>616</v>
      </c>
      <c r="N1" t="s">
        <v>617</v>
      </c>
      <c r="O1" t="s">
        <v>618</v>
      </c>
      <c r="Q1" s="54" t="s">
        <v>613</v>
      </c>
      <c r="R1" s="2">
        <v>0</v>
      </c>
      <c r="T1" s="302" t="s">
        <v>619</v>
      </c>
      <c r="U1" s="158" t="s">
        <v>619</v>
      </c>
      <c r="V1" s="158" t="s">
        <v>620</v>
      </c>
      <c r="X1" t="s">
        <v>621</v>
      </c>
      <c r="Z1">
        <v>1</v>
      </c>
      <c r="AC1" s="149" t="s">
        <v>622</v>
      </c>
      <c r="AN1">
        <v>1</v>
      </c>
    </row>
    <row r="2" spans="1:40" x14ac:dyDescent="0.25">
      <c r="B2" s="75" t="s">
        <v>623</v>
      </c>
      <c r="C2" s="5" t="s">
        <v>175</v>
      </c>
      <c r="D2" s="148" t="s">
        <v>607</v>
      </c>
      <c r="E2" s="52">
        <v>110</v>
      </c>
      <c r="F2" s="5">
        <v>1</v>
      </c>
      <c r="G2" s="166" t="s">
        <v>624</v>
      </c>
      <c r="H2" s="304" t="s">
        <v>596</v>
      </c>
      <c r="I2" s="52" t="s">
        <v>611</v>
      </c>
      <c r="L2" s="148" t="s">
        <v>625</v>
      </c>
      <c r="M2" t="s">
        <v>626</v>
      </c>
      <c r="N2" s="73">
        <v>1</v>
      </c>
      <c r="O2" s="52">
        <v>2300</v>
      </c>
      <c r="Q2" s="54" t="s">
        <v>603</v>
      </c>
      <c r="R2" s="2">
        <v>1</v>
      </c>
      <c r="T2" s="302" t="s">
        <v>627</v>
      </c>
      <c r="U2" s="158" t="s">
        <v>604</v>
      </c>
      <c r="V2" s="158" t="s">
        <v>628</v>
      </c>
      <c r="X2" s="54">
        <v>12</v>
      </c>
      <c r="Y2" s="54"/>
      <c r="Z2" s="54">
        <v>1</v>
      </c>
      <c r="AB2">
        <v>1</v>
      </c>
      <c r="AC2" s="54">
        <v>121</v>
      </c>
    </row>
    <row r="3" spans="1:40" x14ac:dyDescent="0.25">
      <c r="A3" s="281" t="s">
        <v>629</v>
      </c>
      <c r="B3">
        <v>1</v>
      </c>
      <c r="C3" s="5" t="s">
        <v>605</v>
      </c>
      <c r="D3" s="52" t="s">
        <v>595</v>
      </c>
      <c r="E3" s="52">
        <v>120</v>
      </c>
      <c r="F3" s="5">
        <v>2</v>
      </c>
      <c r="G3" s="52" t="s">
        <v>630</v>
      </c>
      <c r="H3" s="52" t="s">
        <v>580</v>
      </c>
      <c r="I3" s="52" t="s">
        <v>601</v>
      </c>
      <c r="L3" s="148" t="s">
        <v>600</v>
      </c>
      <c r="M3" t="s">
        <v>631</v>
      </c>
      <c r="N3" s="73">
        <v>1.33</v>
      </c>
      <c r="O3" s="52">
        <v>4160</v>
      </c>
      <c r="R3" s="2">
        <v>2.15</v>
      </c>
      <c r="T3" s="302" t="s">
        <v>632</v>
      </c>
      <c r="U3" s="158" t="s">
        <v>633</v>
      </c>
      <c r="V3" s="158" t="s">
        <v>634</v>
      </c>
      <c r="X3" s="54">
        <v>10</v>
      </c>
      <c r="Y3" s="54"/>
      <c r="Z3" s="54">
        <v>2</v>
      </c>
      <c r="AB3">
        <v>16</v>
      </c>
      <c r="AC3" s="54">
        <v>122</v>
      </c>
    </row>
    <row r="4" spans="1:40" x14ac:dyDescent="0.25">
      <c r="A4" s="281" t="s">
        <v>635</v>
      </c>
      <c r="B4">
        <v>2</v>
      </c>
      <c r="D4" s="53" t="s">
        <v>636</v>
      </c>
      <c r="E4" s="52">
        <v>127</v>
      </c>
      <c r="F4" s="5">
        <v>3</v>
      </c>
      <c r="G4" s="52" t="s">
        <v>637</v>
      </c>
      <c r="H4" s="52" t="s">
        <v>581</v>
      </c>
      <c r="I4" s="52"/>
      <c r="L4" s="148" t="s">
        <v>638</v>
      </c>
      <c r="O4" s="52">
        <v>6300</v>
      </c>
      <c r="T4" s="303" t="s">
        <v>639</v>
      </c>
      <c r="U4" s="158" t="s">
        <v>640</v>
      </c>
      <c r="V4" s="158" t="s">
        <v>641</v>
      </c>
      <c r="X4" s="54">
        <v>8</v>
      </c>
      <c r="Y4" s="54"/>
      <c r="Z4" s="54">
        <v>3</v>
      </c>
      <c r="AB4">
        <v>17</v>
      </c>
      <c r="AC4" s="54">
        <v>123</v>
      </c>
    </row>
    <row r="5" spans="1:40" x14ac:dyDescent="0.25">
      <c r="A5" s="281" t="s">
        <v>642</v>
      </c>
      <c r="B5">
        <v>3</v>
      </c>
      <c r="D5" s="52"/>
      <c r="E5" s="52">
        <v>208</v>
      </c>
      <c r="F5" s="5"/>
      <c r="G5" s="52" t="s">
        <v>643</v>
      </c>
      <c r="H5" s="148" t="s">
        <v>644</v>
      </c>
      <c r="I5" s="52"/>
      <c r="L5" s="148" t="s">
        <v>645</v>
      </c>
      <c r="O5" s="52">
        <v>6900</v>
      </c>
      <c r="T5" s="303" t="s">
        <v>614</v>
      </c>
      <c r="U5" s="158" t="s">
        <v>614</v>
      </c>
      <c r="V5" s="158" t="s">
        <v>646</v>
      </c>
      <c r="X5" s="54">
        <v>6</v>
      </c>
      <c r="Y5" s="54"/>
      <c r="Z5" s="54">
        <v>4</v>
      </c>
      <c r="AB5">
        <v>18</v>
      </c>
      <c r="AC5" s="54">
        <v>124</v>
      </c>
    </row>
    <row r="6" spans="1:40" x14ac:dyDescent="0.25">
      <c r="A6" s="281" t="s">
        <v>647</v>
      </c>
      <c r="D6" s="52"/>
      <c r="E6" s="52">
        <v>220</v>
      </c>
      <c r="F6" s="5"/>
      <c r="G6" s="52" t="s">
        <v>648</v>
      </c>
      <c r="H6" s="256" t="s">
        <v>649</v>
      </c>
      <c r="I6" s="52"/>
      <c r="L6" s="148" t="s">
        <v>650</v>
      </c>
      <c r="O6" s="52">
        <v>11400</v>
      </c>
      <c r="T6" s="303" t="s">
        <v>651</v>
      </c>
      <c r="U6" s="149" t="s">
        <v>652</v>
      </c>
      <c r="V6" s="149" t="s">
        <v>653</v>
      </c>
      <c r="X6" s="54">
        <v>4</v>
      </c>
      <c r="Y6" s="54"/>
      <c r="Z6" s="54"/>
      <c r="AB6">
        <v>2</v>
      </c>
      <c r="AC6" s="54">
        <v>101</v>
      </c>
    </row>
    <row r="7" spans="1:40" x14ac:dyDescent="0.25">
      <c r="A7" s="281" t="s">
        <v>654</v>
      </c>
      <c r="D7" s="52"/>
      <c r="E7" s="52">
        <v>240</v>
      </c>
      <c r="F7" s="5"/>
      <c r="G7" s="148" t="s">
        <v>655</v>
      </c>
      <c r="H7" s="52"/>
      <c r="I7" s="52"/>
      <c r="L7" s="148" t="s">
        <v>656</v>
      </c>
      <c r="O7" s="52">
        <v>13200</v>
      </c>
      <c r="T7" s="302" t="s">
        <v>657</v>
      </c>
      <c r="U7" s="158" t="s">
        <v>657</v>
      </c>
      <c r="V7" s="158" t="s">
        <v>658</v>
      </c>
      <c r="X7" s="54">
        <v>2</v>
      </c>
      <c r="Y7" s="54"/>
      <c r="Z7" s="54"/>
      <c r="AB7">
        <v>19</v>
      </c>
      <c r="AC7" s="54">
        <v>102</v>
      </c>
    </row>
    <row r="8" spans="1:40" x14ac:dyDescent="0.25">
      <c r="A8" s="281" t="s">
        <v>659</v>
      </c>
      <c r="D8" s="52"/>
      <c r="E8" s="52">
        <v>380</v>
      </c>
      <c r="F8" s="5"/>
      <c r="G8" s="735" t="s">
        <v>624</v>
      </c>
      <c r="H8" s="52"/>
      <c r="I8" s="52"/>
      <c r="L8" s="148" t="s">
        <v>660</v>
      </c>
      <c r="O8" s="52">
        <v>13800</v>
      </c>
      <c r="T8" s="302" t="s">
        <v>661</v>
      </c>
      <c r="U8" s="158" t="s">
        <v>308</v>
      </c>
      <c r="V8" s="158" t="s">
        <v>308</v>
      </c>
      <c r="X8" s="54" t="s">
        <v>662</v>
      </c>
      <c r="Y8" s="54"/>
      <c r="Z8" s="54"/>
      <c r="AB8">
        <v>20</v>
      </c>
      <c r="AC8" s="54">
        <v>103</v>
      </c>
    </row>
    <row r="9" spans="1:40" x14ac:dyDescent="0.25">
      <c r="A9" s="281" t="s">
        <v>663</v>
      </c>
      <c r="D9" s="52"/>
      <c r="E9" s="52">
        <v>440</v>
      </c>
      <c r="F9" s="5"/>
      <c r="G9" s="52"/>
      <c r="H9" s="52"/>
      <c r="I9" s="52"/>
      <c r="J9" s="332"/>
      <c r="L9" s="148" t="s">
        <v>664</v>
      </c>
      <c r="O9" s="52">
        <v>34500</v>
      </c>
      <c r="X9" s="54" t="s">
        <v>665</v>
      </c>
      <c r="Y9" s="54"/>
      <c r="Z9" s="54"/>
      <c r="AB9">
        <v>21</v>
      </c>
      <c r="AC9" s="54">
        <v>104</v>
      </c>
    </row>
    <row r="10" spans="1:40" x14ac:dyDescent="0.25">
      <c r="A10" s="281" t="s">
        <v>666</v>
      </c>
      <c r="D10" s="52"/>
      <c r="E10" s="52">
        <v>460</v>
      </c>
      <c r="F10" s="5"/>
      <c r="G10" s="52"/>
      <c r="H10" s="52"/>
      <c r="I10" s="52"/>
      <c r="L10" s="148" t="s">
        <v>667</v>
      </c>
      <c r="O10" s="52"/>
      <c r="X10" s="54" t="s">
        <v>668</v>
      </c>
      <c r="Y10" s="54"/>
      <c r="Z10" s="54"/>
      <c r="AB10">
        <v>3</v>
      </c>
      <c r="AC10" s="54">
        <v>81</v>
      </c>
    </row>
    <row r="11" spans="1:40" x14ac:dyDescent="0.25">
      <c r="A11" s="281" t="s">
        <v>669</v>
      </c>
      <c r="D11" s="52"/>
      <c r="E11" s="52">
        <v>480</v>
      </c>
      <c r="F11" s="5"/>
      <c r="G11" s="52"/>
      <c r="H11" s="52"/>
      <c r="I11" s="52"/>
      <c r="J11" s="332"/>
      <c r="L11" s="148" t="s">
        <v>670</v>
      </c>
      <c r="O11" s="52"/>
      <c r="X11" s="54" t="s">
        <v>671</v>
      </c>
      <c r="Y11" s="54"/>
      <c r="Z11" s="54"/>
      <c r="AB11">
        <v>22</v>
      </c>
      <c r="AC11" s="54">
        <v>82</v>
      </c>
    </row>
    <row r="12" spans="1:40" s="162" customFormat="1" ht="26.4" x14ac:dyDescent="0.25">
      <c r="A12" s="328" t="s">
        <v>672</v>
      </c>
      <c r="E12" s="330">
        <v>4160</v>
      </c>
      <c r="L12" s="1189" t="s">
        <v>673</v>
      </c>
      <c r="Q12" s="158" t="s">
        <v>674</v>
      </c>
      <c r="X12" s="162">
        <v>250</v>
      </c>
      <c r="AB12" s="162">
        <v>23</v>
      </c>
      <c r="AC12" s="162">
        <v>83</v>
      </c>
    </row>
    <row r="13" spans="1:40" x14ac:dyDescent="0.25">
      <c r="E13" s="53">
        <v>34500</v>
      </c>
      <c r="J13" s="332"/>
      <c r="L13" s="148" t="s">
        <v>675</v>
      </c>
      <c r="Q13" s="149" t="s">
        <v>676</v>
      </c>
      <c r="X13" s="54">
        <v>350</v>
      </c>
      <c r="Y13" s="54"/>
      <c r="Z13" s="54"/>
      <c r="AB13">
        <v>24</v>
      </c>
      <c r="AC13" s="54">
        <v>84</v>
      </c>
    </row>
    <row r="14" spans="1:40" x14ac:dyDescent="0.25">
      <c r="E14" t="s">
        <v>677</v>
      </c>
      <c r="L14" s="148" t="s">
        <v>678</v>
      </c>
      <c r="Q14" s="149" t="s">
        <v>679</v>
      </c>
      <c r="X14" s="54">
        <v>500</v>
      </c>
      <c r="Y14" s="54"/>
      <c r="Z14" s="54"/>
      <c r="AB14">
        <v>4</v>
      </c>
      <c r="AC14" s="54">
        <v>61</v>
      </c>
    </row>
    <row r="15" spans="1:40" x14ac:dyDescent="0.25">
      <c r="L15" s="148" t="s">
        <v>680</v>
      </c>
      <c r="Q15" s="149" t="s">
        <v>681</v>
      </c>
      <c r="X15" s="54">
        <v>750</v>
      </c>
      <c r="Y15" s="54"/>
      <c r="Z15" s="54"/>
      <c r="AB15">
        <v>25</v>
      </c>
      <c r="AC15" s="54">
        <v>62</v>
      </c>
    </row>
    <row r="16" spans="1:40" x14ac:dyDescent="0.25">
      <c r="L16" s="148" t="s">
        <v>682</v>
      </c>
      <c r="X16" s="54">
        <v>1000</v>
      </c>
      <c r="Y16" s="54"/>
      <c r="Z16" s="54"/>
      <c r="AB16">
        <v>26</v>
      </c>
      <c r="AC16" s="54">
        <v>63</v>
      </c>
    </row>
    <row r="17" spans="1:29" ht="13.8" thickBot="1" x14ac:dyDescent="0.3">
      <c r="A17" s="1629" t="s">
        <v>683</v>
      </c>
      <c r="B17" s="1629"/>
      <c r="D17" s="1629" t="s">
        <v>684</v>
      </c>
      <c r="E17" s="1629"/>
      <c r="G17" s="1629" t="s">
        <v>685</v>
      </c>
      <c r="H17" s="1629"/>
      <c r="L17" s="148" t="s">
        <v>686</v>
      </c>
      <c r="AB17">
        <v>27</v>
      </c>
      <c r="AC17" s="54">
        <v>64</v>
      </c>
    </row>
    <row r="18" spans="1:29" ht="86.25" customHeight="1" x14ac:dyDescent="0.25">
      <c r="A18" s="1630" t="s">
        <v>687</v>
      </c>
      <c r="B18" s="1631"/>
      <c r="D18" s="1630" t="s">
        <v>688</v>
      </c>
      <c r="E18" s="1631"/>
      <c r="G18" s="1630" t="s">
        <v>688</v>
      </c>
      <c r="H18" s="1631"/>
      <c r="AB18">
        <v>5</v>
      </c>
      <c r="AC18" s="54">
        <v>41</v>
      </c>
    </row>
    <row r="19" spans="1:29" ht="22.5" customHeight="1" x14ac:dyDescent="0.25">
      <c r="A19" s="79" t="s">
        <v>689</v>
      </c>
      <c r="B19" s="80" t="s">
        <v>690</v>
      </c>
      <c r="D19" s="79" t="s">
        <v>689</v>
      </c>
      <c r="E19" s="80" t="s">
        <v>690</v>
      </c>
      <c r="G19" s="79" t="s">
        <v>689</v>
      </c>
      <c r="H19" s="80" t="s">
        <v>690</v>
      </c>
      <c r="M19" s="1628" t="s">
        <v>674</v>
      </c>
      <c r="N19" s="1628"/>
      <c r="O19" s="1628"/>
      <c r="P19" s="1628"/>
      <c r="AB19">
        <v>28</v>
      </c>
      <c r="AC19" s="54">
        <v>42</v>
      </c>
    </row>
    <row r="20" spans="1:29" x14ac:dyDescent="0.25">
      <c r="A20" s="229" t="s">
        <v>691</v>
      </c>
      <c r="B20" s="230">
        <v>1.1499999999999999</v>
      </c>
      <c r="D20" s="229" t="s">
        <v>691</v>
      </c>
      <c r="E20" s="230">
        <v>1.26</v>
      </c>
      <c r="G20" s="229" t="s">
        <v>691</v>
      </c>
      <c r="H20" s="230">
        <v>1.21</v>
      </c>
      <c r="M20" s="1628" t="s">
        <v>683</v>
      </c>
      <c r="N20" s="1628"/>
      <c r="O20" s="1628"/>
      <c r="P20" s="333" t="s">
        <v>692</v>
      </c>
    </row>
    <row r="21" spans="1:29" x14ac:dyDescent="0.25">
      <c r="A21" s="231" t="s">
        <v>693</v>
      </c>
      <c r="B21" s="230">
        <v>1.1200000000000001</v>
      </c>
      <c r="D21" s="231" t="s">
        <v>693</v>
      </c>
      <c r="E21" s="230">
        <v>1.22</v>
      </c>
      <c r="G21" s="231" t="s">
        <v>693</v>
      </c>
      <c r="H21" s="230">
        <v>1.18</v>
      </c>
      <c r="M21" s="333" t="s">
        <v>676</v>
      </c>
      <c r="N21" s="333" t="s">
        <v>679</v>
      </c>
      <c r="O21" s="333" t="s">
        <v>681</v>
      </c>
      <c r="P21" s="333" t="s">
        <v>681</v>
      </c>
    </row>
    <row r="22" spans="1:29" x14ac:dyDescent="0.25">
      <c r="A22" s="229" t="s">
        <v>694</v>
      </c>
      <c r="B22" s="230">
        <v>1.08</v>
      </c>
      <c r="D22" s="229" t="s">
        <v>694</v>
      </c>
      <c r="E22" s="230">
        <v>1.18</v>
      </c>
      <c r="G22" s="229" t="s">
        <v>694</v>
      </c>
      <c r="H22" s="230">
        <v>1.1399999999999999</v>
      </c>
      <c r="M22" s="288" t="s">
        <v>695</v>
      </c>
      <c r="N22" s="288" t="s">
        <v>695</v>
      </c>
      <c r="O22" s="288" t="s">
        <v>695</v>
      </c>
      <c r="P22" s="288" t="s">
        <v>695</v>
      </c>
    </row>
    <row r="23" spans="1:29" x14ac:dyDescent="0.25">
      <c r="A23" s="229" t="s">
        <v>696</v>
      </c>
      <c r="B23" s="230">
        <v>1.04</v>
      </c>
      <c r="D23" s="229" t="s">
        <v>696</v>
      </c>
      <c r="E23" s="230">
        <v>1.1399999999999999</v>
      </c>
      <c r="G23" s="229" t="s">
        <v>696</v>
      </c>
      <c r="H23" s="230">
        <v>1.1100000000000001</v>
      </c>
      <c r="M23" s="77" t="s">
        <v>697</v>
      </c>
      <c r="N23" s="77" t="s">
        <v>697</v>
      </c>
      <c r="O23" s="77" t="s">
        <v>697</v>
      </c>
      <c r="P23" s="77" t="s">
        <v>697</v>
      </c>
      <c r="AB23">
        <v>30</v>
      </c>
      <c r="AC23" s="54">
        <v>44</v>
      </c>
    </row>
    <row r="24" spans="1:29" x14ac:dyDescent="0.25">
      <c r="A24" s="229" t="s">
        <v>597</v>
      </c>
      <c r="B24" s="230">
        <v>1</v>
      </c>
      <c r="D24" s="229" t="s">
        <v>597</v>
      </c>
      <c r="E24" s="230">
        <v>1.1000000000000001</v>
      </c>
      <c r="G24" s="229" t="s">
        <v>597</v>
      </c>
      <c r="H24" s="230">
        <v>1.07</v>
      </c>
      <c r="M24" s="77" t="s">
        <v>698</v>
      </c>
      <c r="N24" s="77" t="s">
        <v>699</v>
      </c>
      <c r="O24" s="77" t="s">
        <v>97</v>
      </c>
      <c r="P24" s="76" t="s">
        <v>700</v>
      </c>
      <c r="AB24">
        <v>6</v>
      </c>
      <c r="AC24" s="54">
        <v>21</v>
      </c>
    </row>
    <row r="25" spans="1:29" x14ac:dyDescent="0.25">
      <c r="A25" s="229" t="s">
        <v>701</v>
      </c>
      <c r="B25" s="230">
        <v>0.96</v>
      </c>
      <c r="D25" s="229" t="s">
        <v>701</v>
      </c>
      <c r="E25" s="230">
        <v>1.05</v>
      </c>
      <c r="G25" s="229" t="s">
        <v>701</v>
      </c>
      <c r="H25" s="230">
        <v>1.04</v>
      </c>
      <c r="M25" s="77" t="s">
        <v>702</v>
      </c>
      <c r="N25" s="77" t="s">
        <v>703</v>
      </c>
      <c r="O25" s="77" t="s">
        <v>704</v>
      </c>
      <c r="P25" s="76" t="s">
        <v>602</v>
      </c>
      <c r="AB25">
        <v>31</v>
      </c>
      <c r="AC25" s="54">
        <v>22</v>
      </c>
    </row>
    <row r="26" spans="1:29" x14ac:dyDescent="0.25">
      <c r="A26" s="229" t="s">
        <v>705</v>
      </c>
      <c r="B26" s="230">
        <v>0.91</v>
      </c>
      <c r="D26" s="229" t="s">
        <v>705</v>
      </c>
      <c r="E26" s="230">
        <v>1</v>
      </c>
      <c r="G26" s="229" t="s">
        <v>705</v>
      </c>
      <c r="H26" s="230">
        <v>1</v>
      </c>
      <c r="M26" s="288"/>
      <c r="N26" s="77" t="s">
        <v>706</v>
      </c>
      <c r="O26" s="77" t="s">
        <v>699</v>
      </c>
      <c r="P26" s="77" t="s">
        <v>612</v>
      </c>
      <c r="AB26">
        <v>32</v>
      </c>
      <c r="AC26" s="54">
        <v>23</v>
      </c>
    </row>
    <row r="27" spans="1:29" x14ac:dyDescent="0.25">
      <c r="A27" s="229" t="s">
        <v>707</v>
      </c>
      <c r="B27" s="230">
        <v>0.87</v>
      </c>
      <c r="D27" s="229" t="s">
        <v>707</v>
      </c>
      <c r="E27" s="230">
        <v>0.95</v>
      </c>
      <c r="G27" s="229" t="s">
        <v>707</v>
      </c>
      <c r="H27" s="230">
        <v>0.96</v>
      </c>
      <c r="M27" s="288"/>
      <c r="N27" s="77" t="s">
        <v>708</v>
      </c>
      <c r="O27" s="77" t="s">
        <v>709</v>
      </c>
      <c r="P27" s="288"/>
      <c r="AB27">
        <v>33</v>
      </c>
      <c r="AC27" s="54">
        <v>24</v>
      </c>
    </row>
    <row r="28" spans="1:29" x14ac:dyDescent="0.25">
      <c r="A28" s="229" t="s">
        <v>710</v>
      </c>
      <c r="B28" s="230">
        <v>0.82</v>
      </c>
      <c r="D28" s="229" t="s">
        <v>710</v>
      </c>
      <c r="E28" s="230">
        <v>0.89</v>
      </c>
      <c r="G28" s="229" t="s">
        <v>710</v>
      </c>
      <c r="H28" s="230">
        <v>0.92</v>
      </c>
      <c r="M28" s="288"/>
      <c r="N28" s="77" t="s">
        <v>703</v>
      </c>
      <c r="O28" s="77" t="s">
        <v>706</v>
      </c>
      <c r="P28" s="288"/>
      <c r="AB28">
        <v>7</v>
      </c>
      <c r="AC28" s="54">
        <v>1.01</v>
      </c>
    </row>
    <row r="29" spans="1:29" x14ac:dyDescent="0.25">
      <c r="A29" s="229" t="s">
        <v>711</v>
      </c>
      <c r="B29" s="230">
        <v>0.76</v>
      </c>
      <c r="D29" s="229" t="s">
        <v>711</v>
      </c>
      <c r="E29" s="230">
        <v>0.84</v>
      </c>
      <c r="G29" s="229" t="s">
        <v>711</v>
      </c>
      <c r="H29" s="230">
        <v>0.88</v>
      </c>
      <c r="M29" s="288"/>
      <c r="N29" s="77" t="s">
        <v>712</v>
      </c>
      <c r="O29" s="77" t="s">
        <v>713</v>
      </c>
      <c r="P29" s="288"/>
      <c r="AB29">
        <v>34</v>
      </c>
      <c r="AC29" s="54">
        <v>1.02</v>
      </c>
    </row>
    <row r="30" spans="1:29" x14ac:dyDescent="0.25">
      <c r="A30" s="229" t="s">
        <v>714</v>
      </c>
      <c r="B30" s="230">
        <v>0.71</v>
      </c>
      <c r="D30" s="229" t="s">
        <v>714</v>
      </c>
      <c r="E30" s="230">
        <v>0.77</v>
      </c>
      <c r="G30" s="229" t="s">
        <v>714</v>
      </c>
      <c r="H30" s="230">
        <v>0.83</v>
      </c>
      <c r="M30" s="288"/>
      <c r="N30" s="77" t="s">
        <v>715</v>
      </c>
      <c r="O30" s="77" t="s">
        <v>716</v>
      </c>
      <c r="P30" s="288"/>
      <c r="AB30">
        <v>35</v>
      </c>
      <c r="AC30" s="54">
        <v>1.03</v>
      </c>
    </row>
    <row r="31" spans="1:29" x14ac:dyDescent="0.25">
      <c r="A31" s="229" t="s">
        <v>717</v>
      </c>
      <c r="B31" s="230">
        <v>0.65</v>
      </c>
      <c r="D31" s="229" t="s">
        <v>717</v>
      </c>
      <c r="E31" s="230">
        <v>0.71</v>
      </c>
      <c r="G31" s="229" t="s">
        <v>717</v>
      </c>
      <c r="H31" s="230">
        <v>0.78</v>
      </c>
      <c r="M31" s="288"/>
      <c r="N31" s="288"/>
      <c r="O31" s="77" t="s">
        <v>718</v>
      </c>
      <c r="P31" s="288"/>
      <c r="AB31">
        <v>36</v>
      </c>
      <c r="AC31" s="54">
        <v>1.04</v>
      </c>
    </row>
    <row r="32" spans="1:29" x14ac:dyDescent="0.25">
      <c r="A32" s="229" t="s">
        <v>719</v>
      </c>
      <c r="B32" s="230">
        <v>0.57999999999999996</v>
      </c>
      <c r="D32" s="229" t="s">
        <v>719</v>
      </c>
      <c r="E32" s="230">
        <v>0.63</v>
      </c>
      <c r="G32" s="229" t="s">
        <v>719</v>
      </c>
      <c r="H32" s="230">
        <v>0.73</v>
      </c>
      <c r="M32" s="288"/>
      <c r="N32" s="288"/>
      <c r="O32" s="77" t="s">
        <v>720</v>
      </c>
      <c r="P32" s="288"/>
    </row>
    <row r="33" spans="1:29" x14ac:dyDescent="0.25">
      <c r="A33" s="229" t="s">
        <v>721</v>
      </c>
      <c r="B33" s="230">
        <v>0.5</v>
      </c>
      <c r="D33" s="229" t="s">
        <v>721</v>
      </c>
      <c r="E33" s="230">
        <v>0.55000000000000004</v>
      </c>
      <c r="G33" s="229" t="s">
        <v>721</v>
      </c>
      <c r="H33" s="230">
        <v>0.68</v>
      </c>
      <c r="M33" s="288"/>
      <c r="N33" s="288"/>
      <c r="O33" s="77" t="s">
        <v>722</v>
      </c>
      <c r="P33" s="288"/>
      <c r="AB33">
        <v>8</v>
      </c>
      <c r="AC33" s="54">
        <v>2.0099999999999998</v>
      </c>
    </row>
    <row r="34" spans="1:29" x14ac:dyDescent="0.25">
      <c r="A34" s="229" t="s">
        <v>723</v>
      </c>
      <c r="B34" s="230">
        <v>0.41</v>
      </c>
      <c r="D34" s="229" t="s">
        <v>723</v>
      </c>
      <c r="E34" s="230">
        <v>0.45</v>
      </c>
      <c r="G34" s="229" t="s">
        <v>723</v>
      </c>
      <c r="H34" s="230">
        <v>0.62</v>
      </c>
      <c r="M34" s="288"/>
      <c r="N34" s="288"/>
      <c r="O34" s="77" t="s">
        <v>724</v>
      </c>
      <c r="P34" s="288"/>
    </row>
    <row r="35" spans="1:29" x14ac:dyDescent="0.25">
      <c r="A35" s="229" t="s">
        <v>725</v>
      </c>
      <c r="B35" s="230">
        <v>0.28999999999999998</v>
      </c>
      <c r="D35" s="229" t="s">
        <v>725</v>
      </c>
      <c r="E35" s="230">
        <v>0.32</v>
      </c>
      <c r="G35" s="229" t="s">
        <v>725</v>
      </c>
      <c r="H35" s="230">
        <v>0.55000000000000004</v>
      </c>
      <c r="M35" s="288"/>
      <c r="N35" s="288"/>
      <c r="O35" s="77" t="s">
        <v>726</v>
      </c>
      <c r="P35" s="288"/>
    </row>
    <row r="36" spans="1:29" x14ac:dyDescent="0.25">
      <c r="A36" s="229" t="s">
        <v>727</v>
      </c>
      <c r="B36" s="232">
        <v>0</v>
      </c>
      <c r="D36" s="229" t="s">
        <v>727</v>
      </c>
      <c r="E36" s="232">
        <v>0</v>
      </c>
      <c r="G36" s="229" t="s">
        <v>727</v>
      </c>
      <c r="H36" s="230">
        <v>0.48</v>
      </c>
      <c r="M36" s="288"/>
      <c r="N36" s="288"/>
      <c r="O36" s="77" t="s">
        <v>728</v>
      </c>
      <c r="P36" s="288"/>
    </row>
    <row r="37" spans="1:29" x14ac:dyDescent="0.25">
      <c r="A37" s="229" t="s">
        <v>729</v>
      </c>
      <c r="B37" s="232">
        <v>0</v>
      </c>
      <c r="D37" s="229" t="s">
        <v>729</v>
      </c>
      <c r="E37" s="232">
        <v>0</v>
      </c>
      <c r="G37" s="229" t="s">
        <v>729</v>
      </c>
      <c r="H37" s="230">
        <v>0.39</v>
      </c>
      <c r="M37" s="288"/>
      <c r="N37" s="288"/>
      <c r="O37" s="77" t="s">
        <v>730</v>
      </c>
      <c r="P37" s="288"/>
    </row>
    <row r="38" spans="1:29" x14ac:dyDescent="0.25">
      <c r="A38" s="229" t="s">
        <v>731</v>
      </c>
      <c r="B38" s="232">
        <v>0</v>
      </c>
      <c r="D38" s="229" t="s">
        <v>731</v>
      </c>
      <c r="E38" s="232">
        <v>0</v>
      </c>
      <c r="G38" s="229" t="s">
        <v>731</v>
      </c>
      <c r="H38" s="230">
        <v>0.28000000000000003</v>
      </c>
      <c r="M38" s="288"/>
      <c r="N38" s="288"/>
      <c r="O38" s="77" t="s">
        <v>726</v>
      </c>
      <c r="P38" s="288"/>
    </row>
    <row r="39" spans="1:29" x14ac:dyDescent="0.25">
      <c r="M39" s="288"/>
      <c r="N39" s="288"/>
      <c r="O39" s="77" t="s">
        <v>732</v>
      </c>
      <c r="P39" s="288"/>
      <c r="AB39">
        <v>37</v>
      </c>
      <c r="AC39" s="149">
        <v>2.02</v>
      </c>
    </row>
    <row r="40" spans="1:29" x14ac:dyDescent="0.25">
      <c r="M40" s="288"/>
      <c r="N40" s="288"/>
      <c r="O40" s="77" t="s">
        <v>733</v>
      </c>
      <c r="P40" s="288"/>
      <c r="AB40">
        <v>38</v>
      </c>
      <c r="AC40" s="54">
        <v>2.0299999999999998</v>
      </c>
    </row>
    <row r="41" spans="1:29" ht="62.25" customHeight="1" x14ac:dyDescent="0.25">
      <c r="A41" s="224" t="s">
        <v>734</v>
      </c>
      <c r="B41" s="282" t="s">
        <v>735</v>
      </c>
      <c r="M41" s="162"/>
      <c r="N41" s="162"/>
      <c r="O41" s="162"/>
      <c r="P41" s="162"/>
      <c r="AB41">
        <v>39</v>
      </c>
      <c r="AC41" s="149">
        <v>2.04</v>
      </c>
    </row>
    <row r="42" spans="1:29" ht="62.25" customHeight="1" x14ac:dyDescent="0.25">
      <c r="A42" s="224" t="s">
        <v>736</v>
      </c>
      <c r="B42" s="282" t="s">
        <v>737</v>
      </c>
      <c r="M42" s="162"/>
      <c r="N42" s="162"/>
      <c r="O42" s="162"/>
      <c r="P42" s="162"/>
      <c r="AB42">
        <v>40</v>
      </c>
      <c r="AC42" s="149">
        <v>3.02</v>
      </c>
    </row>
    <row r="43" spans="1:29" ht="62.25" customHeight="1" x14ac:dyDescent="0.25">
      <c r="A43" s="224" t="s">
        <v>738</v>
      </c>
      <c r="B43" s="282" t="s">
        <v>739</v>
      </c>
      <c r="AB43">
        <v>9</v>
      </c>
      <c r="AC43" s="149">
        <v>3.01</v>
      </c>
    </row>
    <row r="44" spans="1:29" ht="62.25" customHeight="1" x14ac:dyDescent="0.25">
      <c r="A44" s="224" t="s">
        <v>517</v>
      </c>
      <c r="B44" s="282" t="s">
        <v>740</v>
      </c>
      <c r="AB44">
        <v>40</v>
      </c>
      <c r="AC44" s="149">
        <v>3.02</v>
      </c>
    </row>
    <row r="45" spans="1:29" x14ac:dyDescent="0.25">
      <c r="AB45">
        <v>41</v>
      </c>
      <c r="AC45" s="149">
        <v>3.03</v>
      </c>
    </row>
    <row r="46" spans="1:29" x14ac:dyDescent="0.25">
      <c r="AB46">
        <v>42</v>
      </c>
      <c r="AC46" s="149">
        <v>3.04</v>
      </c>
    </row>
    <row r="47" spans="1:29" x14ac:dyDescent="0.25">
      <c r="AB47">
        <v>10</v>
      </c>
      <c r="AC47" s="149">
        <v>4.01</v>
      </c>
    </row>
    <row r="48" spans="1:29" x14ac:dyDescent="0.25">
      <c r="AB48">
        <v>43</v>
      </c>
      <c r="AC48" s="149">
        <v>4.0199999999999996</v>
      </c>
    </row>
    <row r="49" spans="1:29" x14ac:dyDescent="0.25">
      <c r="A49" s="286" t="s">
        <v>741</v>
      </c>
      <c r="C49" s="286" t="s">
        <v>742</v>
      </c>
      <c r="AB49">
        <v>44</v>
      </c>
      <c r="AC49" s="149">
        <v>4.03</v>
      </c>
    </row>
    <row r="50" spans="1:29" x14ac:dyDescent="0.25">
      <c r="AB50">
        <v>45</v>
      </c>
      <c r="AC50" s="149">
        <v>4.04</v>
      </c>
    </row>
    <row r="51" spans="1:29" s="159" customFormat="1" ht="24" customHeight="1" x14ac:dyDescent="0.25">
      <c r="A51" s="224" t="s">
        <v>743</v>
      </c>
      <c r="C51" s="282" t="s">
        <v>611</v>
      </c>
      <c r="D51" s="159">
        <v>1.8350000000000002E-9</v>
      </c>
      <c r="J51" s="323"/>
      <c r="Q51" s="54"/>
      <c r="AB51" s="159">
        <v>11</v>
      </c>
      <c r="AC51" s="282">
        <v>2501</v>
      </c>
    </row>
    <row r="52" spans="1:29" s="159" customFormat="1" ht="24" customHeight="1" x14ac:dyDescent="0.25">
      <c r="A52" s="224" t="s">
        <v>744</v>
      </c>
      <c r="C52" s="282" t="s">
        <v>601</v>
      </c>
      <c r="D52" s="159">
        <v>3.0300000000000001E-9</v>
      </c>
      <c r="J52" s="323"/>
      <c r="Q52" s="54"/>
      <c r="AC52" s="282"/>
    </row>
    <row r="53" spans="1:29" s="159" customFormat="1" x14ac:dyDescent="0.25">
      <c r="A53" s="282" t="s">
        <v>745</v>
      </c>
      <c r="C53" s="282" t="s">
        <v>601</v>
      </c>
      <c r="D53" s="159">
        <v>3.0300000000000001E-9</v>
      </c>
      <c r="J53" s="323"/>
      <c r="Q53" s="54"/>
      <c r="AC53" s="282"/>
    </row>
    <row r="54" spans="1:29" x14ac:dyDescent="0.25">
      <c r="A54" s="75" t="s">
        <v>746</v>
      </c>
      <c r="AB54">
        <v>46</v>
      </c>
      <c r="AC54" s="149">
        <v>2502</v>
      </c>
    </row>
    <row r="55" spans="1:29" x14ac:dyDescent="0.25">
      <c r="A55" s="75" t="s">
        <v>747</v>
      </c>
      <c r="C55" s="286" t="s">
        <v>748</v>
      </c>
      <c r="AB55">
        <v>47</v>
      </c>
      <c r="AC55" s="149">
        <v>2503</v>
      </c>
    </row>
    <row r="56" spans="1:29" x14ac:dyDescent="0.25">
      <c r="A56" s="75" t="s">
        <v>749</v>
      </c>
      <c r="AB56">
        <v>48</v>
      </c>
      <c r="AC56" s="149">
        <v>2504</v>
      </c>
    </row>
    <row r="57" spans="1:29" x14ac:dyDescent="0.25">
      <c r="A57" s="75" t="s">
        <v>308</v>
      </c>
      <c r="C57" s="75" t="s">
        <v>611</v>
      </c>
      <c r="D57" s="289">
        <v>3.8999999999999998E-3</v>
      </c>
      <c r="AB57">
        <v>48</v>
      </c>
      <c r="AC57" s="149">
        <v>2504</v>
      </c>
    </row>
    <row r="58" spans="1:29" x14ac:dyDescent="0.25">
      <c r="A58" s="75" t="s">
        <v>750</v>
      </c>
      <c r="C58" s="75" t="s">
        <v>601</v>
      </c>
      <c r="D58" s="289">
        <v>4.0299999999999997E-3</v>
      </c>
      <c r="AB58">
        <v>12</v>
      </c>
      <c r="AC58" s="149">
        <v>3501</v>
      </c>
    </row>
    <row r="59" spans="1:29" x14ac:dyDescent="0.25">
      <c r="A59" s="75" t="s">
        <v>310</v>
      </c>
      <c r="AB59">
        <v>49</v>
      </c>
      <c r="AC59" s="149">
        <v>3502</v>
      </c>
    </row>
    <row r="60" spans="1:29" x14ac:dyDescent="0.25">
      <c r="A60" s="75" t="s">
        <v>751</v>
      </c>
      <c r="C60" s="286" t="s">
        <v>752</v>
      </c>
      <c r="AB60">
        <v>49</v>
      </c>
      <c r="AC60" s="149">
        <v>3502</v>
      </c>
    </row>
    <row r="61" spans="1:29" x14ac:dyDescent="0.25">
      <c r="A61" s="75" t="s">
        <v>753</v>
      </c>
      <c r="AB61">
        <v>50</v>
      </c>
      <c r="AC61" s="149">
        <v>3503</v>
      </c>
    </row>
    <row r="62" spans="1:29" x14ac:dyDescent="0.25">
      <c r="A62" s="75" t="s">
        <v>754</v>
      </c>
      <c r="C62" s="75" t="s">
        <v>611</v>
      </c>
      <c r="D62" s="299">
        <v>1.8349999999999999E-8</v>
      </c>
      <c r="AB62">
        <v>50</v>
      </c>
      <c r="AC62" s="149">
        <v>3503</v>
      </c>
    </row>
    <row r="63" spans="1:29" x14ac:dyDescent="0.25">
      <c r="A63" s="75" t="s">
        <v>755</v>
      </c>
      <c r="C63" s="75" t="s">
        <v>601</v>
      </c>
      <c r="D63" s="299">
        <v>3.03E-8</v>
      </c>
      <c r="AB63">
        <v>51</v>
      </c>
      <c r="AC63" s="149">
        <v>3504</v>
      </c>
    </row>
    <row r="64" spans="1:29" x14ac:dyDescent="0.25">
      <c r="A64" s="75" t="s">
        <v>756</v>
      </c>
      <c r="AB64">
        <v>13</v>
      </c>
      <c r="AC64" s="149">
        <v>5001</v>
      </c>
    </row>
    <row r="65" spans="1:34" x14ac:dyDescent="0.25">
      <c r="A65" s="75" t="s">
        <v>757</v>
      </c>
      <c r="AB65">
        <v>52</v>
      </c>
      <c r="AC65" s="149">
        <v>5002</v>
      </c>
    </row>
    <row r="66" spans="1:34" x14ac:dyDescent="0.25">
      <c r="AB66">
        <v>53</v>
      </c>
      <c r="AC66" s="149">
        <v>5003</v>
      </c>
    </row>
    <row r="67" spans="1:34" x14ac:dyDescent="0.25">
      <c r="AB67">
        <v>54</v>
      </c>
      <c r="AC67" s="149">
        <v>5004</v>
      </c>
    </row>
    <row r="68" spans="1:34" s="322" customFormat="1" ht="18.75" customHeight="1" x14ac:dyDescent="0.25">
      <c r="A68" s="1633" t="s">
        <v>758</v>
      </c>
      <c r="B68" s="1633"/>
      <c r="C68" s="1633"/>
      <c r="D68" s="1633"/>
      <c r="E68" s="1633"/>
      <c r="F68" s="1633"/>
      <c r="G68" s="1633"/>
      <c r="H68" s="1633"/>
      <c r="I68" s="1633"/>
      <c r="Q68" s="54"/>
      <c r="U68" s="323"/>
      <c r="V68" s="323"/>
      <c r="AB68" s="322">
        <v>14</v>
      </c>
      <c r="AC68" s="1190">
        <v>750</v>
      </c>
    </row>
    <row r="69" spans="1:34" s="322" customFormat="1" ht="18.75" customHeight="1" x14ac:dyDescent="0.25">
      <c r="A69" s="1633"/>
      <c r="B69" s="1633"/>
      <c r="C69" s="1633"/>
      <c r="D69" s="1633"/>
      <c r="E69" s="1633"/>
      <c r="F69" s="1633"/>
      <c r="G69" s="1633"/>
      <c r="H69" s="1633"/>
      <c r="I69" s="1633"/>
      <c r="Q69" s="54"/>
      <c r="U69" s="323"/>
      <c r="V69" s="323"/>
      <c r="AB69" s="322">
        <v>15</v>
      </c>
      <c r="AC69" s="1190">
        <v>1000</v>
      </c>
    </row>
    <row r="71" spans="1:34" s="74" customFormat="1" ht="27.75" customHeight="1" x14ac:dyDescent="0.25">
      <c r="A71" s="324" t="s">
        <v>759</v>
      </c>
      <c r="B71" s="324" t="s">
        <v>760</v>
      </c>
      <c r="C71" s="324" t="s">
        <v>761</v>
      </c>
      <c r="D71" s="324" t="s">
        <v>762</v>
      </c>
      <c r="E71" s="324" t="s">
        <v>763</v>
      </c>
      <c r="F71" s="324" t="s">
        <v>764</v>
      </c>
      <c r="G71" s="324" t="s">
        <v>765</v>
      </c>
      <c r="H71" s="324" t="s">
        <v>766</v>
      </c>
      <c r="I71" s="324" t="s">
        <v>767</v>
      </c>
      <c r="J71" s="322"/>
      <c r="K71"/>
      <c r="L71"/>
      <c r="M71"/>
      <c r="N71"/>
      <c r="O71"/>
      <c r="P71"/>
      <c r="Q71" s="54"/>
      <c r="R71"/>
      <c r="S71"/>
      <c r="T71"/>
      <c r="U71" s="54"/>
      <c r="V71" s="54"/>
      <c r="W71"/>
      <c r="X71"/>
      <c r="Y71"/>
      <c r="Z71"/>
      <c r="AA71"/>
      <c r="AB71"/>
      <c r="AC71" s="54"/>
      <c r="AD71"/>
      <c r="AE71"/>
      <c r="AF71"/>
      <c r="AG71"/>
      <c r="AH71"/>
    </row>
    <row r="72" spans="1:34" x14ac:dyDescent="0.25">
      <c r="A72" s="156">
        <v>15</v>
      </c>
      <c r="B72" s="156">
        <v>482</v>
      </c>
      <c r="C72" s="156">
        <v>492</v>
      </c>
      <c r="D72" s="156">
        <v>506</v>
      </c>
      <c r="E72" s="156">
        <v>525</v>
      </c>
      <c r="F72" s="156">
        <v>548</v>
      </c>
      <c r="G72" s="156">
        <v>557</v>
      </c>
      <c r="H72" s="156">
        <v>576</v>
      </c>
      <c r="I72" s="156">
        <v>6</v>
      </c>
    </row>
    <row r="73" spans="1:34" x14ac:dyDescent="0.25">
      <c r="A73" s="156">
        <v>30</v>
      </c>
      <c r="B73" s="156">
        <v>791</v>
      </c>
      <c r="C73" s="156">
        <v>808</v>
      </c>
      <c r="D73" s="156">
        <v>834</v>
      </c>
      <c r="E73" s="156">
        <v>869</v>
      </c>
      <c r="F73" s="156">
        <v>912</v>
      </c>
      <c r="G73" s="156">
        <v>928</v>
      </c>
      <c r="H73" s="156">
        <v>963</v>
      </c>
      <c r="I73" s="156">
        <v>6</v>
      </c>
    </row>
    <row r="74" spans="1:34" x14ac:dyDescent="0.25">
      <c r="A74" s="156">
        <v>45</v>
      </c>
      <c r="B74" s="156">
        <v>1062</v>
      </c>
      <c r="C74" s="156">
        <v>1086</v>
      </c>
      <c r="D74" s="156">
        <v>1123</v>
      </c>
      <c r="E74" s="156">
        <v>1172</v>
      </c>
      <c r="F74" s="156">
        <v>1234</v>
      </c>
      <c r="G74" s="156">
        <v>1259</v>
      </c>
      <c r="H74" s="156">
        <v>1308</v>
      </c>
      <c r="I74" s="156">
        <v>6</v>
      </c>
    </row>
    <row r="75" spans="1:34" x14ac:dyDescent="0.25">
      <c r="A75" s="156">
        <v>75</v>
      </c>
      <c r="B75" s="156">
        <v>1578</v>
      </c>
      <c r="C75" s="156">
        <v>1616</v>
      </c>
      <c r="D75" s="156">
        <v>1673</v>
      </c>
      <c r="E75" s="156">
        <v>1749</v>
      </c>
      <c r="F75" s="156">
        <v>1844</v>
      </c>
      <c r="G75" s="156">
        <v>1882</v>
      </c>
      <c r="H75" s="156">
        <v>1959</v>
      </c>
      <c r="I75" s="156">
        <v>6</v>
      </c>
    </row>
    <row r="76" spans="1:34" x14ac:dyDescent="0.25">
      <c r="A76" s="156">
        <v>112.5</v>
      </c>
      <c r="B76" s="156">
        <v>2215</v>
      </c>
      <c r="C76" s="156">
        <v>2269</v>
      </c>
      <c r="D76" s="156">
        <v>2349</v>
      </c>
      <c r="E76" s="156">
        <v>2457</v>
      </c>
      <c r="F76" s="156">
        <v>2591</v>
      </c>
      <c r="G76" s="156">
        <v>2645</v>
      </c>
      <c r="H76" s="156">
        <v>2753</v>
      </c>
      <c r="I76" s="156">
        <v>6</v>
      </c>
    </row>
    <row r="77" spans="1:34" x14ac:dyDescent="0.25">
      <c r="A77" s="156">
        <v>150</v>
      </c>
      <c r="B77" s="156">
        <v>2278</v>
      </c>
      <c r="C77" s="156">
        <v>1846</v>
      </c>
      <c r="D77" s="156">
        <v>2948</v>
      </c>
      <c r="E77" s="156">
        <v>3084</v>
      </c>
      <c r="F77" s="156">
        <v>3254</v>
      </c>
      <c r="G77" s="156">
        <v>2695</v>
      </c>
      <c r="H77" s="156">
        <v>2796</v>
      </c>
      <c r="I77" s="156">
        <v>6</v>
      </c>
    </row>
    <row r="78" spans="1:34" x14ac:dyDescent="0.25">
      <c r="A78" s="156">
        <v>225</v>
      </c>
      <c r="B78" s="156">
        <v>3822</v>
      </c>
      <c r="C78" s="156">
        <v>3917</v>
      </c>
      <c r="D78" s="156">
        <v>4058</v>
      </c>
      <c r="E78" s="156">
        <v>4247</v>
      </c>
      <c r="F78" s="156">
        <v>4483</v>
      </c>
      <c r="G78" s="156">
        <v>4577</v>
      </c>
      <c r="H78" s="156">
        <v>4766</v>
      </c>
      <c r="I78" s="156">
        <v>6</v>
      </c>
    </row>
    <row r="79" spans="1:34" x14ac:dyDescent="0.25">
      <c r="A79" s="156">
        <v>300</v>
      </c>
      <c r="B79" s="156">
        <v>4839</v>
      </c>
      <c r="C79" s="156">
        <v>4959</v>
      </c>
      <c r="D79" s="156">
        <v>5140</v>
      </c>
      <c r="E79" s="156">
        <v>5380</v>
      </c>
      <c r="F79" s="156">
        <v>5681</v>
      </c>
      <c r="G79" s="156">
        <v>5800</v>
      </c>
      <c r="H79" s="156">
        <v>6041</v>
      </c>
      <c r="I79" s="156">
        <v>6</v>
      </c>
    </row>
    <row r="80" spans="1:34" x14ac:dyDescent="0.25">
      <c r="A80" s="156">
        <v>400</v>
      </c>
      <c r="B80" s="156">
        <v>6107</v>
      </c>
      <c r="C80" s="156">
        <v>6260</v>
      </c>
      <c r="D80" s="156">
        <v>6490</v>
      </c>
      <c r="E80" s="156">
        <v>6797</v>
      </c>
      <c r="F80" s="156">
        <v>7180</v>
      </c>
      <c r="G80" s="156">
        <v>7334</v>
      </c>
      <c r="H80" s="156">
        <v>7641</v>
      </c>
      <c r="I80" s="156">
        <v>6</v>
      </c>
    </row>
    <row r="81" spans="1:29" x14ac:dyDescent="0.25">
      <c r="A81" s="156">
        <v>500</v>
      </c>
      <c r="B81" s="156">
        <v>7268</v>
      </c>
      <c r="C81" s="156">
        <v>7451</v>
      </c>
      <c r="D81" s="156">
        <v>7725</v>
      </c>
      <c r="E81" s="156">
        <v>8092</v>
      </c>
      <c r="F81" s="156">
        <v>8549</v>
      </c>
      <c r="G81" s="156">
        <v>8733</v>
      </c>
      <c r="H81" s="156">
        <v>9099</v>
      </c>
      <c r="I81" s="156">
        <v>6</v>
      </c>
    </row>
    <row r="82" spans="1:29" x14ac:dyDescent="0.25">
      <c r="A82" s="156">
        <v>650</v>
      </c>
      <c r="B82" s="156">
        <v>8680</v>
      </c>
      <c r="C82" s="156">
        <v>8900</v>
      </c>
      <c r="D82" s="156">
        <v>9230</v>
      </c>
      <c r="E82" s="156">
        <v>9670</v>
      </c>
      <c r="F82" s="156">
        <v>10220</v>
      </c>
      <c r="G82" s="156">
        <v>10440</v>
      </c>
      <c r="H82" s="156">
        <v>1088</v>
      </c>
      <c r="I82" s="156">
        <v>6</v>
      </c>
    </row>
    <row r="83" spans="1:29" x14ac:dyDescent="0.25">
      <c r="A83" s="156">
        <v>750</v>
      </c>
      <c r="B83" s="156">
        <v>9877</v>
      </c>
      <c r="C83" s="156">
        <v>10130</v>
      </c>
      <c r="D83" s="156">
        <v>10510</v>
      </c>
      <c r="E83" s="156">
        <v>11017</v>
      </c>
      <c r="F83" s="156">
        <v>11650</v>
      </c>
      <c r="G83" s="156">
        <v>11903</v>
      </c>
      <c r="H83" s="156">
        <v>12409</v>
      </c>
      <c r="I83" s="156">
        <v>6</v>
      </c>
    </row>
    <row r="84" spans="1:29" x14ac:dyDescent="0.25">
      <c r="A84" s="156">
        <v>800</v>
      </c>
      <c r="B84" s="156">
        <v>10428</v>
      </c>
      <c r="C84" s="156">
        <v>10693</v>
      </c>
      <c r="D84" s="156">
        <v>11092</v>
      </c>
      <c r="E84" s="156">
        <v>11623</v>
      </c>
      <c r="F84" s="156">
        <v>12287</v>
      </c>
      <c r="G84" s="156">
        <v>12552</v>
      </c>
      <c r="H84" s="156">
        <v>13083</v>
      </c>
      <c r="I84" s="156">
        <v>6</v>
      </c>
    </row>
    <row r="85" spans="1:29" x14ac:dyDescent="0.25">
      <c r="A85" s="156">
        <v>1000</v>
      </c>
      <c r="B85" s="156">
        <v>12624</v>
      </c>
      <c r="C85" s="156">
        <v>12948</v>
      </c>
      <c r="D85" s="156">
        <v>13434</v>
      </c>
      <c r="E85" s="156">
        <v>14082</v>
      </c>
      <c r="F85" s="156">
        <v>14892</v>
      </c>
      <c r="G85" s="156">
        <v>15215</v>
      </c>
      <c r="H85" s="156">
        <v>15863</v>
      </c>
      <c r="I85" s="156">
        <v>6</v>
      </c>
    </row>
    <row r="86" spans="1:29" x14ac:dyDescent="0.25">
      <c r="A86" s="156">
        <v>1250</v>
      </c>
      <c r="B86" s="156">
        <v>15091</v>
      </c>
      <c r="C86" s="156">
        <v>15481</v>
      </c>
      <c r="D86" s="156">
        <v>16065</v>
      </c>
      <c r="E86" s="156">
        <v>16845</v>
      </c>
      <c r="F86" s="156">
        <v>17819</v>
      </c>
      <c r="G86" s="156">
        <v>18209</v>
      </c>
      <c r="H86" s="156">
        <v>18988</v>
      </c>
      <c r="I86" s="156">
        <v>8</v>
      </c>
    </row>
    <row r="87" spans="1:29" x14ac:dyDescent="0.25">
      <c r="A87" s="156">
        <v>1600</v>
      </c>
      <c r="B87" s="156">
        <v>18584</v>
      </c>
      <c r="C87" s="156">
        <v>19071</v>
      </c>
      <c r="D87" s="156">
        <v>19800</v>
      </c>
      <c r="E87" s="156">
        <v>20773</v>
      </c>
      <c r="F87" s="156">
        <v>21989</v>
      </c>
      <c r="G87" s="156">
        <v>22475</v>
      </c>
      <c r="H87" s="156">
        <v>23448</v>
      </c>
      <c r="I87" s="156">
        <v>8</v>
      </c>
    </row>
    <row r="88" spans="1:29" x14ac:dyDescent="0.25">
      <c r="A88" s="156">
        <v>2000</v>
      </c>
      <c r="B88" s="156">
        <v>22269</v>
      </c>
      <c r="C88" s="156">
        <v>22865</v>
      </c>
      <c r="D88" s="156">
        <v>23757</v>
      </c>
      <c r="E88" s="156">
        <v>24948</v>
      </c>
      <c r="F88" s="156">
        <v>26435</v>
      </c>
      <c r="G88" s="156">
        <v>27030</v>
      </c>
      <c r="H88" s="156">
        <v>28220</v>
      </c>
      <c r="I88" s="156">
        <v>8</v>
      </c>
    </row>
    <row r="89" spans="1:29" x14ac:dyDescent="0.25">
      <c r="A89" s="54"/>
      <c r="B89" s="54"/>
      <c r="C89" s="54"/>
      <c r="D89" s="54"/>
      <c r="E89" s="54"/>
      <c r="F89" s="54"/>
      <c r="G89" s="54"/>
      <c r="H89" s="54"/>
      <c r="I89" s="54"/>
    </row>
    <row r="90" spans="1:29" x14ac:dyDescent="0.25">
      <c r="A90" s="1632" t="s">
        <v>768</v>
      </c>
      <c r="B90" s="76" t="s">
        <v>351</v>
      </c>
      <c r="C90" s="76" t="s">
        <v>769</v>
      </c>
      <c r="D90" s="76" t="s">
        <v>348</v>
      </c>
      <c r="E90" s="76" t="s">
        <v>346</v>
      </c>
      <c r="F90" s="76" t="s">
        <v>770</v>
      </c>
      <c r="G90" s="76" t="s">
        <v>369</v>
      </c>
      <c r="H90" s="76" t="s">
        <v>771</v>
      </c>
      <c r="I90" s="54"/>
    </row>
    <row r="91" spans="1:29" x14ac:dyDescent="0.25">
      <c r="A91" s="1632"/>
      <c r="B91" s="76" t="s">
        <v>679</v>
      </c>
      <c r="C91" s="76" t="s">
        <v>772</v>
      </c>
      <c r="D91" s="76" t="s">
        <v>773</v>
      </c>
      <c r="E91" s="76" t="s">
        <v>774</v>
      </c>
      <c r="F91" s="76" t="s">
        <v>775</v>
      </c>
      <c r="G91" s="76" t="s">
        <v>776</v>
      </c>
      <c r="H91" s="76" t="s">
        <v>777</v>
      </c>
      <c r="I91" s="54"/>
    </row>
    <row r="92" spans="1:29" x14ac:dyDescent="0.25">
      <c r="A92" s="54"/>
      <c r="B92" s="54"/>
      <c r="C92" s="54"/>
      <c r="D92" s="54"/>
      <c r="E92" s="54"/>
      <c r="F92" s="54"/>
      <c r="G92" s="54"/>
      <c r="H92" s="54"/>
      <c r="I92" s="54"/>
    </row>
    <row r="93" spans="1:29" s="322" customFormat="1" ht="18.75" customHeight="1" x14ac:dyDescent="0.25">
      <c r="A93" s="1633" t="s">
        <v>778</v>
      </c>
      <c r="B93" s="1633"/>
      <c r="C93" s="1633"/>
      <c r="D93" s="1633"/>
      <c r="E93" s="1633"/>
      <c r="F93" s="1633"/>
      <c r="G93" s="1633"/>
      <c r="H93" s="1633"/>
      <c r="I93" s="1633"/>
      <c r="Q93" s="54"/>
      <c r="U93" s="323"/>
      <c r="V93" s="323"/>
      <c r="AB93" s="322">
        <v>14</v>
      </c>
      <c r="AC93" s="1190">
        <v>750</v>
      </c>
    </row>
    <row r="94" spans="1:29" s="322" customFormat="1" ht="18.75" customHeight="1" x14ac:dyDescent="0.25">
      <c r="A94" s="1633"/>
      <c r="B94" s="1633"/>
      <c r="C94" s="1633"/>
      <c r="D94" s="1633"/>
      <c r="E94" s="1633"/>
      <c r="F94" s="1633"/>
      <c r="G94" s="1633"/>
      <c r="H94" s="1633"/>
      <c r="I94" s="1633"/>
      <c r="Q94" s="54"/>
      <c r="U94" s="323"/>
      <c r="V94" s="323"/>
      <c r="AB94" s="322">
        <v>15</v>
      </c>
      <c r="AC94" s="1190">
        <v>1000</v>
      </c>
    </row>
    <row r="96" spans="1:29" s="74" customFormat="1" ht="27.75" customHeight="1" x14ac:dyDescent="0.25">
      <c r="A96" s="324" t="s">
        <v>759</v>
      </c>
      <c r="B96" s="324" t="s">
        <v>760</v>
      </c>
      <c r="C96" s="324" t="s">
        <v>761</v>
      </c>
      <c r="D96" s="324" t="s">
        <v>762</v>
      </c>
      <c r="E96" s="324" t="s">
        <v>763</v>
      </c>
      <c r="F96" s="324" t="s">
        <v>764</v>
      </c>
      <c r="G96" s="324" t="s">
        <v>765</v>
      </c>
      <c r="H96" s="324" t="s">
        <v>766</v>
      </c>
      <c r="I96" s="324" t="s">
        <v>767</v>
      </c>
      <c r="J96" s="329"/>
    </row>
    <row r="97" spans="1:9" x14ac:dyDescent="0.25">
      <c r="A97" s="156">
        <v>10</v>
      </c>
      <c r="B97" s="156">
        <v>326</v>
      </c>
      <c r="C97" s="156">
        <v>334</v>
      </c>
      <c r="D97" s="156">
        <v>344</v>
      </c>
      <c r="E97" s="156">
        <v>359</v>
      </c>
      <c r="F97" s="156">
        <v>376</v>
      </c>
      <c r="G97" s="156">
        <v>383</v>
      </c>
      <c r="H97" s="156">
        <v>397</v>
      </c>
      <c r="I97" s="156">
        <v>4</v>
      </c>
    </row>
    <row r="98" spans="1:9" x14ac:dyDescent="0.25">
      <c r="A98" s="156">
        <v>15</v>
      </c>
      <c r="B98" s="156">
        <v>450</v>
      </c>
      <c r="C98" s="156">
        <v>460</v>
      </c>
      <c r="D98" s="156">
        <v>475</v>
      </c>
      <c r="E98" s="156">
        <v>495</v>
      </c>
      <c r="F98" s="156">
        <v>520</v>
      </c>
      <c r="G98" s="156">
        <v>530</v>
      </c>
      <c r="H98" s="156">
        <v>550</v>
      </c>
      <c r="I98" s="156">
        <v>4</v>
      </c>
    </row>
    <row r="99" spans="1:9" x14ac:dyDescent="0.25">
      <c r="A99" s="156">
        <v>20</v>
      </c>
      <c r="B99" s="156">
        <v>564</v>
      </c>
      <c r="C99" s="156">
        <v>577</v>
      </c>
      <c r="D99" s="156">
        <v>596</v>
      </c>
      <c r="E99" s="156">
        <v>621</v>
      </c>
      <c r="F99" s="156">
        <v>653</v>
      </c>
      <c r="G99" s="156">
        <v>666</v>
      </c>
      <c r="H99" s="156">
        <v>691</v>
      </c>
      <c r="I99" s="156">
        <v>4</v>
      </c>
    </row>
    <row r="100" spans="1:9" x14ac:dyDescent="0.25">
      <c r="A100" s="156">
        <v>25</v>
      </c>
      <c r="B100" s="156">
        <v>669</v>
      </c>
      <c r="C100" s="156">
        <v>684</v>
      </c>
      <c r="D100" s="156">
        <v>707</v>
      </c>
      <c r="E100" s="156">
        <v>738</v>
      </c>
      <c r="F100" s="156">
        <v>776</v>
      </c>
      <c r="G100" s="156">
        <v>792</v>
      </c>
      <c r="H100" s="156">
        <v>822</v>
      </c>
      <c r="I100" s="156">
        <v>4</v>
      </c>
    </row>
    <row r="101" spans="1:9" x14ac:dyDescent="0.25">
      <c r="A101" s="156">
        <v>30</v>
      </c>
      <c r="B101" s="156">
        <v>769</v>
      </c>
      <c r="C101" s="156">
        <v>787</v>
      </c>
      <c r="D101" s="156">
        <v>813</v>
      </c>
      <c r="E101" s="156">
        <v>849</v>
      </c>
      <c r="F101" s="156">
        <v>893</v>
      </c>
      <c r="G101" s="156">
        <v>911</v>
      </c>
      <c r="H101" s="156">
        <v>946</v>
      </c>
      <c r="I101" s="156">
        <v>4</v>
      </c>
    </row>
    <row r="102" spans="1:9" x14ac:dyDescent="0.25">
      <c r="A102" s="156">
        <v>45</v>
      </c>
      <c r="B102" s="156">
        <v>1042</v>
      </c>
      <c r="C102" s="156">
        <v>1066</v>
      </c>
      <c r="D102" s="156">
        <v>1103</v>
      </c>
      <c r="E102" s="156">
        <v>1152</v>
      </c>
      <c r="F102" s="156">
        <v>1214</v>
      </c>
      <c r="G102" s="156">
        <v>1239</v>
      </c>
      <c r="H102" s="156">
        <v>1288</v>
      </c>
      <c r="I102" s="156">
        <v>4</v>
      </c>
    </row>
    <row r="103" spans="1:9" x14ac:dyDescent="0.25">
      <c r="A103" s="156">
        <v>75</v>
      </c>
      <c r="B103" s="156">
        <v>1521</v>
      </c>
      <c r="C103" s="156">
        <v>1558</v>
      </c>
      <c r="D103" s="156">
        <v>1614</v>
      </c>
      <c r="E103" s="156">
        <v>1689</v>
      </c>
      <c r="F103" s="156">
        <v>1782</v>
      </c>
      <c r="G103" s="156">
        <v>1819</v>
      </c>
      <c r="H103" s="156">
        <v>1893</v>
      </c>
      <c r="I103" s="156">
        <v>4</v>
      </c>
    </row>
    <row r="104" spans="1:9" x14ac:dyDescent="0.25">
      <c r="A104" s="156">
        <v>112.5</v>
      </c>
      <c r="B104" s="156">
        <v>2054</v>
      </c>
      <c r="C104" s="156">
        <v>2105</v>
      </c>
      <c r="D104" s="156">
        <v>2183</v>
      </c>
      <c r="E104" s="156">
        <v>2286</v>
      </c>
      <c r="F104" s="156">
        <v>2415</v>
      </c>
      <c r="G104" s="156">
        <v>2466</v>
      </c>
      <c r="H104" s="156">
        <v>2569</v>
      </c>
      <c r="I104" s="156">
        <v>5</v>
      </c>
    </row>
    <row r="105" spans="1:9" x14ac:dyDescent="0.25">
      <c r="A105" s="156">
        <v>150</v>
      </c>
      <c r="B105" s="156">
        <v>2541</v>
      </c>
      <c r="C105" s="156">
        <v>2606</v>
      </c>
      <c r="D105" s="156">
        <v>2703</v>
      </c>
      <c r="E105" s="156">
        <v>2832</v>
      </c>
      <c r="F105" s="156">
        <v>2994</v>
      </c>
      <c r="G105" s="156">
        <v>3058</v>
      </c>
      <c r="H105" s="156">
        <v>3188</v>
      </c>
      <c r="I105" s="156">
        <v>5</v>
      </c>
    </row>
    <row r="106" spans="1:9" x14ac:dyDescent="0.25">
      <c r="A106" s="156">
        <v>225</v>
      </c>
      <c r="B106" s="156">
        <v>3474</v>
      </c>
      <c r="C106" s="156">
        <v>3565</v>
      </c>
      <c r="D106" s="156">
        <v>3700</v>
      </c>
      <c r="E106" s="156">
        <v>3880</v>
      </c>
      <c r="F106" s="156">
        <v>4105</v>
      </c>
      <c r="G106" s="156">
        <v>4195</v>
      </c>
      <c r="H106" s="156">
        <v>4375</v>
      </c>
      <c r="I106" s="156">
        <v>5</v>
      </c>
    </row>
    <row r="107" spans="1:9" x14ac:dyDescent="0.25">
      <c r="A107" s="156">
        <v>300</v>
      </c>
      <c r="B107" s="156">
        <v>4345</v>
      </c>
      <c r="C107" s="156">
        <v>4459</v>
      </c>
      <c r="D107" s="156">
        <v>4629</v>
      </c>
      <c r="E107" s="156">
        <v>4857</v>
      </c>
      <c r="F107" s="156">
        <v>5141</v>
      </c>
      <c r="G107" s="156">
        <v>5255</v>
      </c>
      <c r="H107" s="156">
        <v>5482</v>
      </c>
      <c r="I107" s="156">
        <v>5</v>
      </c>
    </row>
    <row r="108" spans="1:9" x14ac:dyDescent="0.25">
      <c r="A108" s="156">
        <v>400</v>
      </c>
      <c r="B108" s="156">
        <v>5428</v>
      </c>
      <c r="C108" s="156">
        <v>5571</v>
      </c>
      <c r="D108" s="156">
        <v>5785</v>
      </c>
      <c r="E108" s="156">
        <v>6072</v>
      </c>
      <c r="F108" s="156">
        <v>6429</v>
      </c>
      <c r="G108" s="156">
        <v>6573</v>
      </c>
      <c r="H108" s="156">
        <v>6859</v>
      </c>
      <c r="I108" s="156">
        <v>6</v>
      </c>
    </row>
    <row r="109" spans="1:9" x14ac:dyDescent="0.25">
      <c r="A109" s="156">
        <v>500</v>
      </c>
      <c r="B109" s="156">
        <v>6495</v>
      </c>
      <c r="C109" s="156">
        <v>6668</v>
      </c>
      <c r="D109" s="156">
        <v>6926</v>
      </c>
      <c r="E109" s="156">
        <v>7271</v>
      </c>
      <c r="F109" s="156">
        <v>7702</v>
      </c>
      <c r="G109" s="156">
        <v>7874</v>
      </c>
      <c r="H109" s="156">
        <v>8219</v>
      </c>
      <c r="I109" s="156">
        <v>6</v>
      </c>
    </row>
    <row r="110" spans="1:9" x14ac:dyDescent="0.25">
      <c r="A110" s="156">
        <v>630</v>
      </c>
      <c r="B110" s="156">
        <v>7863</v>
      </c>
      <c r="C110" s="156">
        <v>8073</v>
      </c>
      <c r="D110" s="156">
        <v>8386</v>
      </c>
      <c r="E110" s="156">
        <v>8805</v>
      </c>
      <c r="F110" s="156">
        <v>9327</v>
      </c>
      <c r="G110" s="156">
        <v>9536</v>
      </c>
      <c r="H110" s="156">
        <v>9954</v>
      </c>
      <c r="I110" s="156">
        <v>6</v>
      </c>
    </row>
    <row r="111" spans="1:9" x14ac:dyDescent="0.25">
      <c r="A111" s="156">
        <v>750</v>
      </c>
      <c r="B111" s="156">
        <v>9131</v>
      </c>
      <c r="C111" s="156">
        <v>9376</v>
      </c>
      <c r="D111" s="156">
        <v>9743</v>
      </c>
      <c r="E111" s="156">
        <v>10232</v>
      </c>
      <c r="F111" s="156">
        <v>10844</v>
      </c>
      <c r="G111" s="156">
        <v>11088</v>
      </c>
      <c r="H111" s="156">
        <v>11577</v>
      </c>
      <c r="I111" s="156">
        <v>6</v>
      </c>
    </row>
    <row r="112" spans="1:9" x14ac:dyDescent="0.25">
      <c r="A112" s="156">
        <v>800</v>
      </c>
      <c r="B112" s="156">
        <v>9597</v>
      </c>
      <c r="C112" s="156">
        <v>9855</v>
      </c>
      <c r="D112" s="156">
        <v>10242</v>
      </c>
      <c r="E112" s="156">
        <v>10759</v>
      </c>
      <c r="F112" s="156">
        <v>11405</v>
      </c>
      <c r="G112" s="156">
        <v>11664</v>
      </c>
      <c r="H112" s="156">
        <v>12181</v>
      </c>
      <c r="I112" s="156">
        <v>6</v>
      </c>
    </row>
    <row r="113" spans="1:9" x14ac:dyDescent="0.25">
      <c r="A113" s="156">
        <v>1000</v>
      </c>
      <c r="B113" s="156">
        <v>11641</v>
      </c>
      <c r="C113" s="156">
        <v>11956</v>
      </c>
      <c r="D113" s="156">
        <v>12248</v>
      </c>
      <c r="E113" s="156">
        <v>13057</v>
      </c>
      <c r="F113" s="156">
        <v>13844</v>
      </c>
      <c r="G113" s="156">
        <v>14159</v>
      </c>
      <c r="H113" s="156">
        <v>14788</v>
      </c>
      <c r="I113" s="156">
        <v>6</v>
      </c>
    </row>
    <row r="114" spans="1:9" x14ac:dyDescent="0.25">
      <c r="A114" s="54"/>
      <c r="B114" s="54"/>
      <c r="C114" s="54"/>
      <c r="D114" s="54"/>
      <c r="E114" s="54"/>
      <c r="F114" s="54"/>
      <c r="G114" s="54"/>
      <c r="H114" s="54"/>
      <c r="I114" s="54"/>
    </row>
    <row r="115" spans="1:9" x14ac:dyDescent="0.25">
      <c r="A115" s="1632" t="s">
        <v>768</v>
      </c>
      <c r="B115" s="76" t="s">
        <v>351</v>
      </c>
      <c r="C115" s="76" t="s">
        <v>769</v>
      </c>
      <c r="D115" s="76" t="s">
        <v>348</v>
      </c>
      <c r="E115" s="76" t="s">
        <v>346</v>
      </c>
      <c r="F115" s="76" t="s">
        <v>770</v>
      </c>
      <c r="G115" s="76" t="s">
        <v>369</v>
      </c>
      <c r="H115" s="76" t="s">
        <v>771</v>
      </c>
      <c r="I115" s="54"/>
    </row>
    <row r="116" spans="1:9" x14ac:dyDescent="0.25">
      <c r="A116" s="1632"/>
      <c r="B116" s="76" t="s">
        <v>679</v>
      </c>
      <c r="C116" s="76" t="s">
        <v>772</v>
      </c>
      <c r="D116" s="76" t="s">
        <v>773</v>
      </c>
      <c r="E116" s="76" t="s">
        <v>774</v>
      </c>
      <c r="F116" s="76" t="s">
        <v>775</v>
      </c>
      <c r="G116" s="76" t="s">
        <v>776</v>
      </c>
      <c r="H116" s="76" t="s">
        <v>777</v>
      </c>
      <c r="I116" s="54"/>
    </row>
    <row r="117" spans="1:9" x14ac:dyDescent="0.25">
      <c r="A117" s="54"/>
      <c r="B117" s="54"/>
      <c r="C117" s="54"/>
      <c r="D117" s="54"/>
      <c r="E117" s="54"/>
      <c r="F117" s="54"/>
      <c r="G117" s="54"/>
      <c r="H117" s="54"/>
      <c r="I117" s="54"/>
    </row>
    <row r="118" spans="1:9" x14ac:dyDescent="0.25">
      <c r="A118" s="54"/>
      <c r="B118" s="54"/>
      <c r="C118" s="54"/>
      <c r="D118" s="54"/>
      <c r="E118" s="54"/>
      <c r="F118" s="54"/>
      <c r="G118" s="54"/>
      <c r="H118" s="54"/>
      <c r="I118" s="54"/>
    </row>
    <row r="119" spans="1:9" x14ac:dyDescent="0.25">
      <c r="A119" s="54"/>
      <c r="B119" s="54"/>
      <c r="C119" s="54"/>
      <c r="D119" s="54"/>
      <c r="E119" s="54"/>
      <c r="F119" s="54"/>
      <c r="G119" s="54"/>
      <c r="H119" s="54"/>
      <c r="I119" s="54"/>
    </row>
    <row r="120" spans="1:9" x14ac:dyDescent="0.25">
      <c r="A120" s="54"/>
      <c r="B120" s="54"/>
      <c r="C120" s="54"/>
      <c r="D120" s="54"/>
      <c r="E120" s="54"/>
      <c r="F120" s="54"/>
      <c r="G120" s="54"/>
      <c r="H120" s="54"/>
      <c r="I120" s="54"/>
    </row>
    <row r="121" spans="1:9" x14ac:dyDescent="0.25">
      <c r="A121" s="54"/>
      <c r="B121" s="54"/>
      <c r="C121" s="54"/>
      <c r="D121" s="54"/>
      <c r="E121" s="54"/>
      <c r="F121" s="54"/>
      <c r="G121" s="54"/>
      <c r="H121" s="54"/>
      <c r="I121" s="54"/>
    </row>
    <row r="122" spans="1:9" x14ac:dyDescent="0.25">
      <c r="A122" s="54"/>
      <c r="B122" s="54"/>
      <c r="C122" s="54"/>
      <c r="D122" s="54"/>
      <c r="E122" s="54"/>
      <c r="F122" s="54"/>
      <c r="G122" s="54"/>
      <c r="H122" s="54"/>
      <c r="I122" s="54"/>
    </row>
    <row r="123" spans="1:9" x14ac:dyDescent="0.25">
      <c r="A123" s="54"/>
      <c r="B123" s="54"/>
      <c r="C123" s="54"/>
      <c r="D123" s="54"/>
      <c r="E123" s="54"/>
      <c r="F123" s="54"/>
      <c r="G123" s="54"/>
      <c r="H123" s="54"/>
      <c r="I123" s="54"/>
    </row>
    <row r="124" spans="1:9" x14ac:dyDescent="0.25">
      <c r="A124" s="54"/>
      <c r="B124" s="54"/>
      <c r="C124" s="54"/>
      <c r="D124" s="54"/>
      <c r="E124" s="54"/>
      <c r="F124" s="54"/>
      <c r="G124" s="54"/>
      <c r="H124" s="54"/>
      <c r="I124" s="54"/>
    </row>
    <row r="125" spans="1:9" x14ac:dyDescent="0.25">
      <c r="A125" s="54"/>
      <c r="B125" s="54"/>
      <c r="C125" s="54"/>
      <c r="D125" s="54"/>
      <c r="E125" s="54"/>
      <c r="F125" s="54"/>
      <c r="G125" s="54"/>
      <c r="H125" s="54"/>
      <c r="I125" s="54"/>
    </row>
    <row r="126" spans="1:9" x14ac:dyDescent="0.25">
      <c r="A126" s="54"/>
      <c r="B126" s="54"/>
      <c r="C126" s="54"/>
      <c r="D126" s="54"/>
      <c r="E126" s="54"/>
      <c r="F126" s="54"/>
      <c r="G126" s="54"/>
      <c r="H126" s="54"/>
      <c r="I126" s="54"/>
    </row>
    <row r="127" spans="1:9" x14ac:dyDescent="0.25">
      <c r="A127" s="54"/>
      <c r="B127" s="54"/>
      <c r="C127" s="54"/>
      <c r="D127" s="54"/>
      <c r="E127" s="54"/>
      <c r="F127" s="54"/>
      <c r="G127" s="54"/>
      <c r="H127" s="54"/>
      <c r="I127" s="54"/>
    </row>
    <row r="128" spans="1:9" x14ac:dyDescent="0.25">
      <c r="A128" s="54"/>
      <c r="B128" s="54"/>
      <c r="C128" s="54"/>
      <c r="D128" s="54"/>
      <c r="E128" s="54"/>
      <c r="F128" s="54"/>
      <c r="G128" s="54"/>
      <c r="H128" s="54"/>
      <c r="I128" s="54"/>
    </row>
    <row r="129" spans="1:9" x14ac:dyDescent="0.25">
      <c r="A129" s="54"/>
      <c r="B129" s="54"/>
      <c r="C129" s="54"/>
      <c r="D129" s="54"/>
      <c r="E129" s="54"/>
      <c r="F129" s="54"/>
      <c r="G129" s="54"/>
      <c r="H129" s="54"/>
      <c r="I129" s="54"/>
    </row>
    <row r="130" spans="1:9" x14ac:dyDescent="0.25">
      <c r="A130" s="54"/>
      <c r="B130" s="54"/>
      <c r="C130" s="54"/>
      <c r="D130" s="54"/>
      <c r="E130" s="54"/>
      <c r="F130" s="54"/>
      <c r="G130" s="54"/>
      <c r="H130" s="54"/>
      <c r="I130" s="54"/>
    </row>
    <row r="131" spans="1:9" x14ac:dyDescent="0.25">
      <c r="A131" s="54"/>
      <c r="B131" s="54"/>
      <c r="C131" s="54"/>
      <c r="D131" s="54"/>
      <c r="E131" s="54"/>
      <c r="F131" s="54"/>
      <c r="G131" s="54"/>
      <c r="H131" s="54"/>
      <c r="I131" s="54"/>
    </row>
    <row r="132" spans="1:9" x14ac:dyDescent="0.25">
      <c r="A132" s="54"/>
      <c r="B132" s="54"/>
      <c r="C132" s="54"/>
      <c r="D132" s="54"/>
      <c r="E132" s="54"/>
      <c r="F132" s="54"/>
      <c r="G132" s="54"/>
      <c r="H132" s="54"/>
      <c r="I132" s="54"/>
    </row>
    <row r="133" spans="1:9" x14ac:dyDescent="0.25">
      <c r="A133" s="54"/>
      <c r="B133" s="54"/>
      <c r="C133" s="54"/>
      <c r="D133" s="54"/>
      <c r="E133" s="54"/>
      <c r="F133" s="54"/>
      <c r="G133" s="54"/>
      <c r="H133" s="54"/>
      <c r="I133" s="54"/>
    </row>
    <row r="134" spans="1:9" x14ac:dyDescent="0.25">
      <c r="A134" s="54"/>
      <c r="B134" s="54"/>
      <c r="C134" s="54"/>
      <c r="D134" s="54"/>
      <c r="E134" s="54"/>
      <c r="F134" s="54"/>
      <c r="G134" s="54"/>
      <c r="H134" s="54"/>
      <c r="I134" s="54"/>
    </row>
    <row r="135" spans="1:9" x14ac:dyDescent="0.25">
      <c r="A135" s="54"/>
      <c r="B135" s="54"/>
      <c r="C135" s="54"/>
      <c r="D135" s="54"/>
      <c r="E135" s="54"/>
      <c r="F135" s="54"/>
      <c r="G135" s="54"/>
      <c r="H135" s="54"/>
      <c r="I135" s="54"/>
    </row>
    <row r="136" spans="1:9" x14ac:dyDescent="0.25">
      <c r="A136" s="54"/>
      <c r="B136" s="54"/>
      <c r="C136" s="54"/>
      <c r="D136" s="54"/>
      <c r="E136" s="54"/>
      <c r="F136" s="54"/>
      <c r="G136" s="54"/>
      <c r="H136" s="54"/>
      <c r="I136" s="54"/>
    </row>
    <row r="137" spans="1:9" x14ac:dyDescent="0.25">
      <c r="A137" s="54"/>
      <c r="B137" s="54"/>
      <c r="C137" s="54"/>
      <c r="D137" s="54"/>
      <c r="E137" s="54"/>
      <c r="F137" s="54"/>
      <c r="G137" s="54"/>
      <c r="H137" s="54"/>
      <c r="I137" s="54"/>
    </row>
    <row r="138" spans="1:9" x14ac:dyDescent="0.25">
      <c r="A138" s="54"/>
      <c r="B138" s="54"/>
      <c r="C138" s="54"/>
      <c r="D138" s="54"/>
      <c r="E138" s="54"/>
      <c r="F138" s="54"/>
      <c r="G138" s="54"/>
      <c r="H138" s="54"/>
      <c r="I138" s="54"/>
    </row>
    <row r="139" spans="1:9" x14ac:dyDescent="0.25">
      <c r="A139" s="54"/>
      <c r="B139" s="54"/>
      <c r="C139" s="54"/>
      <c r="D139" s="54"/>
      <c r="E139" s="54"/>
      <c r="F139" s="54"/>
      <c r="G139" s="54"/>
      <c r="H139" s="54"/>
      <c r="I139" s="54"/>
    </row>
    <row r="140" spans="1:9" x14ac:dyDescent="0.25">
      <c r="A140" s="54"/>
      <c r="B140" s="54"/>
      <c r="C140" s="54"/>
      <c r="D140" s="54"/>
      <c r="E140" s="54"/>
      <c r="F140" s="54"/>
      <c r="G140" s="54"/>
      <c r="H140" s="54"/>
      <c r="I140" s="54"/>
    </row>
    <row r="141" spans="1:9" x14ac:dyDescent="0.25">
      <c r="A141" s="54"/>
      <c r="B141" s="54"/>
      <c r="C141" s="54"/>
      <c r="D141" s="54"/>
      <c r="E141" s="54"/>
      <c r="F141" s="54"/>
      <c r="G141" s="54"/>
      <c r="H141" s="54"/>
      <c r="I141" s="54"/>
    </row>
    <row r="142" spans="1:9" x14ac:dyDescent="0.25">
      <c r="A142" s="54"/>
      <c r="B142" s="54"/>
      <c r="C142" s="54"/>
      <c r="D142" s="54"/>
      <c r="E142" s="54"/>
      <c r="F142" s="54"/>
      <c r="G142" s="54"/>
      <c r="H142" s="54"/>
      <c r="I142" s="54"/>
    </row>
    <row r="143" spans="1:9" x14ac:dyDescent="0.25">
      <c r="A143" s="54"/>
      <c r="B143" s="54"/>
      <c r="C143" s="54"/>
      <c r="D143" s="54"/>
      <c r="E143" s="54"/>
      <c r="F143" s="54"/>
      <c r="G143" s="54"/>
      <c r="H143" s="54"/>
      <c r="I143" s="54"/>
    </row>
    <row r="144" spans="1:9" x14ac:dyDescent="0.25">
      <c r="A144" s="54"/>
      <c r="B144" s="54"/>
      <c r="C144" s="54"/>
      <c r="D144" s="54"/>
      <c r="E144" s="54"/>
      <c r="F144" s="54"/>
      <c r="G144" s="54"/>
      <c r="H144" s="54"/>
      <c r="I144" s="54"/>
    </row>
    <row r="145" spans="1:9" x14ac:dyDescent="0.25">
      <c r="A145" s="54"/>
      <c r="B145" s="54"/>
      <c r="C145" s="54"/>
      <c r="D145" s="54"/>
      <c r="E145" s="54"/>
      <c r="F145" s="54"/>
      <c r="G145" s="54"/>
      <c r="H145" s="54"/>
      <c r="I145" s="54"/>
    </row>
    <row r="146" spans="1:9" x14ac:dyDescent="0.25">
      <c r="A146" s="54"/>
      <c r="B146" s="54"/>
      <c r="C146" s="54"/>
      <c r="D146" s="54"/>
      <c r="E146" s="54"/>
      <c r="F146" s="54"/>
      <c r="G146" s="54"/>
      <c r="H146" s="54"/>
      <c r="I146" s="54"/>
    </row>
    <row r="147" spans="1:9" x14ac:dyDescent="0.25">
      <c r="A147" s="54"/>
      <c r="B147" s="54"/>
      <c r="C147" s="54"/>
      <c r="D147" s="54"/>
      <c r="E147" s="54"/>
      <c r="F147" s="54"/>
      <c r="G147" s="54"/>
      <c r="H147" s="54"/>
      <c r="I147" s="54"/>
    </row>
    <row r="148" spans="1:9" x14ac:dyDescent="0.25">
      <c r="A148" s="54"/>
      <c r="B148" s="54"/>
      <c r="C148" s="54"/>
      <c r="D148" s="54"/>
      <c r="E148" s="54"/>
      <c r="F148" s="54"/>
      <c r="G148" s="54"/>
      <c r="H148" s="54"/>
      <c r="I148" s="54"/>
    </row>
    <row r="149" spans="1:9" x14ac:dyDescent="0.25">
      <c r="A149" s="54"/>
      <c r="B149" s="54"/>
      <c r="C149" s="54"/>
      <c r="D149" s="54"/>
      <c r="E149" s="54"/>
      <c r="F149" s="54"/>
      <c r="G149" s="54"/>
      <c r="H149" s="54"/>
      <c r="I149" s="54"/>
    </row>
    <row r="150" spans="1:9" x14ac:dyDescent="0.25">
      <c r="A150" s="54"/>
      <c r="B150" s="54"/>
      <c r="C150" s="54"/>
      <c r="D150" s="54"/>
      <c r="E150" s="54"/>
      <c r="F150" s="54"/>
      <c r="G150" s="54"/>
      <c r="H150" s="54"/>
      <c r="I150" s="54"/>
    </row>
    <row r="151" spans="1:9" x14ac:dyDescent="0.25">
      <c r="A151" s="54"/>
      <c r="B151" s="54"/>
      <c r="C151" s="54"/>
      <c r="D151" s="54"/>
      <c r="E151" s="54"/>
      <c r="F151" s="54"/>
      <c r="G151" s="54"/>
      <c r="H151" s="54"/>
      <c r="I151" s="54"/>
    </row>
    <row r="152" spans="1:9" x14ac:dyDescent="0.25">
      <c r="A152" s="54"/>
      <c r="B152" s="54"/>
      <c r="C152" s="54"/>
      <c r="D152" s="54"/>
      <c r="E152" s="54"/>
      <c r="F152" s="54"/>
      <c r="G152" s="54"/>
      <c r="H152" s="54"/>
      <c r="I152" s="54"/>
    </row>
    <row r="153" spans="1:9" x14ac:dyDescent="0.25">
      <c r="A153" s="54"/>
      <c r="B153" s="54"/>
      <c r="C153" s="54"/>
      <c r="D153" s="54"/>
      <c r="E153" s="54"/>
      <c r="F153" s="54"/>
      <c r="G153" s="54"/>
      <c r="H153" s="54"/>
      <c r="I153" s="54"/>
    </row>
    <row r="154" spans="1:9" x14ac:dyDescent="0.25">
      <c r="A154" s="54"/>
      <c r="B154" s="54"/>
      <c r="C154" s="54"/>
      <c r="D154" s="54"/>
      <c r="E154" s="54"/>
      <c r="F154" s="54"/>
      <c r="G154" s="54"/>
      <c r="H154" s="54"/>
      <c r="I154" s="54"/>
    </row>
    <row r="155" spans="1:9" x14ac:dyDescent="0.25">
      <c r="A155" s="54"/>
      <c r="B155" s="54"/>
      <c r="C155" s="54"/>
      <c r="D155" s="54"/>
      <c r="E155" s="54"/>
      <c r="F155" s="54"/>
      <c r="G155" s="54"/>
      <c r="H155" s="54"/>
      <c r="I155" s="54"/>
    </row>
    <row r="156" spans="1:9" x14ac:dyDescent="0.25">
      <c r="A156" s="54"/>
      <c r="B156" s="54"/>
      <c r="C156" s="54"/>
      <c r="D156" s="54"/>
      <c r="E156" s="54"/>
      <c r="F156" s="54"/>
      <c r="G156" s="54"/>
      <c r="H156" s="54"/>
      <c r="I156" s="54"/>
    </row>
    <row r="157" spans="1:9" x14ac:dyDescent="0.25">
      <c r="A157" s="54"/>
      <c r="B157" s="54"/>
      <c r="C157" s="54"/>
      <c r="D157" s="54"/>
      <c r="E157" s="54"/>
      <c r="F157" s="54"/>
      <c r="G157" s="54"/>
      <c r="H157" s="54"/>
      <c r="I157" s="54"/>
    </row>
    <row r="158" spans="1:9" x14ac:dyDescent="0.25">
      <c r="A158" s="54"/>
      <c r="B158" s="54"/>
      <c r="C158" s="54"/>
      <c r="D158" s="54"/>
      <c r="E158" s="54"/>
      <c r="F158" s="54"/>
      <c r="G158" s="54"/>
      <c r="H158" s="54"/>
      <c r="I158" s="54"/>
    </row>
    <row r="159" spans="1:9" x14ac:dyDescent="0.25">
      <c r="A159" s="54"/>
      <c r="B159" s="54"/>
      <c r="C159" s="54"/>
      <c r="D159" s="54"/>
      <c r="E159" s="54"/>
      <c r="F159" s="54"/>
      <c r="G159" s="54"/>
      <c r="H159" s="54"/>
      <c r="I159" s="54"/>
    </row>
    <row r="160" spans="1:9" x14ac:dyDescent="0.25">
      <c r="A160" s="54"/>
      <c r="B160" s="54"/>
      <c r="C160" s="54"/>
      <c r="D160" s="54"/>
      <c r="E160" s="54"/>
      <c r="F160" s="54"/>
      <c r="G160" s="54"/>
      <c r="H160" s="54"/>
      <c r="I160" s="54"/>
    </row>
    <row r="161" spans="1:9" x14ac:dyDescent="0.25">
      <c r="A161" s="54"/>
      <c r="B161" s="54"/>
      <c r="C161" s="54"/>
      <c r="D161" s="54"/>
      <c r="E161" s="54"/>
      <c r="F161" s="54"/>
      <c r="G161" s="54"/>
      <c r="H161" s="54"/>
      <c r="I161" s="54"/>
    </row>
  </sheetData>
  <mergeCells count="12">
    <mergeCell ref="A115:A116"/>
    <mergeCell ref="A68:I69"/>
    <mergeCell ref="A90:A91"/>
    <mergeCell ref="A93:I94"/>
    <mergeCell ref="A18:B18"/>
    <mergeCell ref="D18:E18"/>
    <mergeCell ref="M19:P19"/>
    <mergeCell ref="M20:O20"/>
    <mergeCell ref="A17:B17"/>
    <mergeCell ref="D17:E17"/>
    <mergeCell ref="G17:H17"/>
    <mergeCell ref="G18:H18"/>
  </mergeCells>
  <phoneticPr fontId="20"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5887D-F25F-4F2E-ACCB-B8B0CD7DADCB}">
  <sheetPr codeName="Hoja21"/>
  <dimension ref="B3:G23"/>
  <sheetViews>
    <sheetView workbookViewId="0">
      <selection activeCell="Y14" sqref="Y14"/>
    </sheetView>
  </sheetViews>
  <sheetFormatPr baseColWidth="10" defaultColWidth="11.44140625" defaultRowHeight="13.2" x14ac:dyDescent="0.25"/>
  <cols>
    <col min="2" max="2" width="4.109375" style="54" customWidth="1"/>
    <col min="3" max="3" width="41.5546875" bestFit="1" customWidth="1"/>
    <col min="5" max="5" width="3.5546875" style="54" customWidth="1"/>
    <col min="6" max="6" width="18.44140625" customWidth="1"/>
  </cols>
  <sheetData>
    <row r="3" spans="2:7" x14ac:dyDescent="0.25">
      <c r="B3" s="1634" t="s">
        <v>779</v>
      </c>
      <c r="C3" s="1634"/>
      <c r="D3" s="75"/>
      <c r="E3" s="1634" t="s">
        <v>780</v>
      </c>
      <c r="F3" s="1634"/>
    </row>
    <row r="4" spans="2:7" x14ac:dyDescent="0.25">
      <c r="E4" s="149"/>
    </row>
    <row r="5" spans="2:7" x14ac:dyDescent="0.25">
      <c r="B5" s="149" t="s">
        <v>357</v>
      </c>
      <c r="C5" s="243" t="s">
        <v>781</v>
      </c>
      <c r="E5" s="245" t="s">
        <v>629</v>
      </c>
      <c r="F5" s="246">
        <v>222000</v>
      </c>
      <c r="G5" s="245" t="s">
        <v>629</v>
      </c>
    </row>
    <row r="6" spans="2:7" x14ac:dyDescent="0.25">
      <c r="B6" s="149" t="s">
        <v>771</v>
      </c>
      <c r="C6" s="243" t="s">
        <v>782</v>
      </c>
      <c r="E6" s="245" t="s">
        <v>635</v>
      </c>
      <c r="F6" s="246">
        <v>115000</v>
      </c>
      <c r="G6" s="245" t="s">
        <v>635</v>
      </c>
    </row>
    <row r="7" spans="2:7" x14ac:dyDescent="0.25">
      <c r="B7" s="149" t="s">
        <v>351</v>
      </c>
      <c r="C7" s="243" t="s">
        <v>783</v>
      </c>
      <c r="E7" s="245" t="s">
        <v>642</v>
      </c>
      <c r="F7" s="246">
        <v>34500</v>
      </c>
      <c r="G7" s="245" t="s">
        <v>642</v>
      </c>
    </row>
    <row r="8" spans="2:7" x14ac:dyDescent="0.25">
      <c r="B8" s="149" t="s">
        <v>784</v>
      </c>
      <c r="C8" s="244" t="s">
        <v>785</v>
      </c>
      <c r="E8" s="245" t="s">
        <v>647</v>
      </c>
      <c r="F8" s="246">
        <v>13800</v>
      </c>
      <c r="G8" s="245" t="s">
        <v>647</v>
      </c>
    </row>
    <row r="9" spans="2:7" x14ac:dyDescent="0.25">
      <c r="B9" s="149" t="s">
        <v>770</v>
      </c>
      <c r="C9" s="244" t="s">
        <v>786</v>
      </c>
      <c r="E9" s="245" t="s">
        <v>654</v>
      </c>
      <c r="F9" s="246">
        <v>6900</v>
      </c>
      <c r="G9" s="245" t="s">
        <v>654</v>
      </c>
    </row>
    <row r="10" spans="2:7" x14ac:dyDescent="0.25">
      <c r="B10" s="149" t="s">
        <v>646</v>
      </c>
      <c r="C10" s="244" t="s">
        <v>787</v>
      </c>
      <c r="E10" s="245" t="s">
        <v>659</v>
      </c>
      <c r="F10" s="246">
        <v>6300</v>
      </c>
      <c r="G10" s="245" t="s">
        <v>659</v>
      </c>
    </row>
    <row r="11" spans="2:7" x14ac:dyDescent="0.25">
      <c r="E11" s="245" t="s">
        <v>663</v>
      </c>
      <c r="F11" s="246">
        <v>4160</v>
      </c>
      <c r="G11" s="245" t="s">
        <v>663</v>
      </c>
    </row>
    <row r="12" spans="2:7" x14ac:dyDescent="0.25">
      <c r="B12" s="1634" t="s">
        <v>788</v>
      </c>
      <c r="C12" s="1634" t="s">
        <v>788</v>
      </c>
      <c r="E12" s="245" t="s">
        <v>666</v>
      </c>
      <c r="F12" s="246">
        <v>480</v>
      </c>
      <c r="G12" s="245" t="s">
        <v>666</v>
      </c>
    </row>
    <row r="13" spans="2:7" x14ac:dyDescent="0.25">
      <c r="E13" s="245" t="s">
        <v>669</v>
      </c>
      <c r="F13" s="246">
        <v>208</v>
      </c>
      <c r="G13" s="245" t="s">
        <v>669</v>
      </c>
    </row>
    <row r="14" spans="2:7" x14ac:dyDescent="0.25">
      <c r="B14" s="54">
        <v>1</v>
      </c>
      <c r="C14" s="244" t="s">
        <v>789</v>
      </c>
      <c r="E14" s="54">
        <v>10</v>
      </c>
      <c r="F14" s="247">
        <v>120</v>
      </c>
      <c r="G14" s="54">
        <v>10</v>
      </c>
    </row>
    <row r="15" spans="2:7" x14ac:dyDescent="0.25">
      <c r="B15" s="54">
        <v>2</v>
      </c>
      <c r="C15" s="244" t="s">
        <v>790</v>
      </c>
      <c r="E15" s="54">
        <v>11</v>
      </c>
      <c r="F15" s="247">
        <v>25</v>
      </c>
      <c r="G15" s="54">
        <v>11</v>
      </c>
    </row>
    <row r="16" spans="2:7" x14ac:dyDescent="0.25">
      <c r="B16" s="54">
        <v>3</v>
      </c>
      <c r="C16" s="244" t="s">
        <v>791</v>
      </c>
      <c r="E16" s="54">
        <v>12</v>
      </c>
      <c r="F16" s="247">
        <v>48</v>
      </c>
      <c r="G16" s="54">
        <v>12</v>
      </c>
    </row>
    <row r="17" spans="2:7" x14ac:dyDescent="0.25">
      <c r="B17" s="54">
        <v>4</v>
      </c>
      <c r="C17" s="244" t="s">
        <v>792</v>
      </c>
      <c r="E17" s="54">
        <v>13</v>
      </c>
      <c r="F17" s="247">
        <v>24</v>
      </c>
      <c r="G17" s="54">
        <v>13</v>
      </c>
    </row>
    <row r="18" spans="2:7" x14ac:dyDescent="0.25">
      <c r="B18" s="54">
        <v>5</v>
      </c>
      <c r="C18" s="244" t="s">
        <v>793</v>
      </c>
      <c r="E18" s="54">
        <v>14</v>
      </c>
      <c r="F18" s="247">
        <v>12</v>
      </c>
      <c r="G18" s="54">
        <v>14</v>
      </c>
    </row>
    <row r="19" spans="2:7" x14ac:dyDescent="0.25">
      <c r="B19" s="54">
        <v>6</v>
      </c>
      <c r="C19" s="244" t="s">
        <v>794</v>
      </c>
      <c r="E19" s="54">
        <v>15</v>
      </c>
      <c r="F19" s="247">
        <v>127</v>
      </c>
      <c r="G19" s="54">
        <v>15</v>
      </c>
    </row>
    <row r="20" spans="2:7" x14ac:dyDescent="0.25">
      <c r="B20" s="54">
        <v>7</v>
      </c>
      <c r="C20" s="244" t="s">
        <v>795</v>
      </c>
      <c r="E20" s="54">
        <v>16</v>
      </c>
      <c r="F20" s="247">
        <v>220</v>
      </c>
      <c r="G20" s="54">
        <v>16</v>
      </c>
    </row>
    <row r="21" spans="2:7" x14ac:dyDescent="0.25">
      <c r="B21" s="54">
        <v>8</v>
      </c>
      <c r="C21" s="244" t="s">
        <v>796</v>
      </c>
      <c r="E21" s="54">
        <v>17</v>
      </c>
      <c r="F21" s="247">
        <v>240</v>
      </c>
      <c r="G21" s="54">
        <v>17</v>
      </c>
    </row>
    <row r="22" spans="2:7" x14ac:dyDescent="0.25">
      <c r="B22" s="54">
        <v>9</v>
      </c>
      <c r="C22" s="244" t="s">
        <v>797</v>
      </c>
    </row>
    <row r="23" spans="2:7" x14ac:dyDescent="0.25">
      <c r="B23" s="54">
        <v>10</v>
      </c>
      <c r="C23" s="244" t="s">
        <v>589</v>
      </c>
    </row>
  </sheetData>
  <mergeCells count="3">
    <mergeCell ref="B3:C3"/>
    <mergeCell ref="B12:C12"/>
    <mergeCell ref="E3:F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7"/>
  <dimension ref="A1:H125"/>
  <sheetViews>
    <sheetView topLeftCell="A109" workbookViewId="0">
      <selection activeCell="Y14" sqref="Y14"/>
    </sheetView>
  </sheetViews>
  <sheetFormatPr baseColWidth="10" defaultColWidth="11.44140625" defaultRowHeight="13.2" x14ac:dyDescent="0.25"/>
  <cols>
    <col min="4" max="4" width="29.109375" bestFit="1" customWidth="1"/>
    <col min="5" max="6" width="11.44140625" style="54"/>
  </cols>
  <sheetData>
    <row r="1" spans="1:8" ht="13.8" thickBot="1" x14ac:dyDescent="0.3"/>
    <row r="2" spans="1:8" x14ac:dyDescent="0.25">
      <c r="D2" s="86"/>
      <c r="E2" s="170" t="s">
        <v>798</v>
      </c>
      <c r="F2" s="170" t="s">
        <v>799</v>
      </c>
      <c r="G2" s="87"/>
      <c r="H2" s="88"/>
    </row>
    <row r="3" spans="1:8" x14ac:dyDescent="0.25">
      <c r="D3" s="89" t="s">
        <v>800</v>
      </c>
      <c r="E3" s="171">
        <v>3.5</v>
      </c>
      <c r="F3" s="171">
        <f>+(E3/2)^2*PI()</f>
        <v>9.6211275016187408</v>
      </c>
      <c r="G3" s="90"/>
      <c r="H3" s="91" t="s">
        <v>801</v>
      </c>
    </row>
    <row r="4" spans="1:8" x14ac:dyDescent="0.25">
      <c r="A4" s="35">
        <v>1</v>
      </c>
      <c r="B4" s="35" t="s">
        <v>802</v>
      </c>
      <c r="C4" s="35" t="s">
        <v>625</v>
      </c>
      <c r="D4" s="89" t="s">
        <v>803</v>
      </c>
      <c r="E4" s="171">
        <v>4</v>
      </c>
      <c r="F4" s="171">
        <f t="shared" ref="F4:F19" si="0">+(E4/2)^2*PI()</f>
        <v>12.566370614359172</v>
      </c>
      <c r="G4" s="90"/>
      <c r="H4" s="91"/>
    </row>
    <row r="5" spans="1:8" x14ac:dyDescent="0.25">
      <c r="A5" s="35">
        <v>2</v>
      </c>
      <c r="B5" s="35" t="s">
        <v>804</v>
      </c>
      <c r="C5" s="35" t="s">
        <v>625</v>
      </c>
      <c r="D5" s="89" t="s">
        <v>805</v>
      </c>
      <c r="E5" s="171">
        <v>4.5999999999999996</v>
      </c>
      <c r="F5" s="171">
        <f t="shared" si="0"/>
        <v>16.619025137490002</v>
      </c>
      <c r="G5" s="90"/>
      <c r="H5" s="91"/>
    </row>
    <row r="6" spans="1:8" x14ac:dyDescent="0.25">
      <c r="A6" s="35">
        <v>3</v>
      </c>
      <c r="B6" s="35" t="s">
        <v>806</v>
      </c>
      <c r="C6" s="35" t="s">
        <v>625</v>
      </c>
      <c r="D6" s="89" t="s">
        <v>807</v>
      </c>
      <c r="E6" s="171">
        <v>6.2</v>
      </c>
      <c r="F6" s="171">
        <f t="shared" si="0"/>
        <v>30.190705400997917</v>
      </c>
      <c r="G6" s="90"/>
      <c r="H6" s="91"/>
    </row>
    <row r="7" spans="1:8" x14ac:dyDescent="0.25">
      <c r="A7" s="35">
        <v>4</v>
      </c>
      <c r="B7" s="35" t="s">
        <v>808</v>
      </c>
      <c r="C7" s="35" t="s">
        <v>625</v>
      </c>
      <c r="D7" s="89" t="s">
        <v>809</v>
      </c>
      <c r="E7" s="171">
        <v>7.2</v>
      </c>
      <c r="F7" s="171">
        <f t="shared" si="0"/>
        <v>40.715040790523723</v>
      </c>
      <c r="G7" s="90"/>
      <c r="H7" s="91"/>
    </row>
    <row r="8" spans="1:8" x14ac:dyDescent="0.25">
      <c r="A8" s="35">
        <v>5</v>
      </c>
      <c r="B8" s="35" t="s">
        <v>810</v>
      </c>
      <c r="C8" s="35" t="s">
        <v>625</v>
      </c>
      <c r="D8" s="89" t="s">
        <v>811</v>
      </c>
      <c r="E8" s="171">
        <v>8.4</v>
      </c>
      <c r="F8" s="171">
        <f t="shared" si="0"/>
        <v>55.41769440932395</v>
      </c>
      <c r="G8" s="90"/>
      <c r="H8" s="91"/>
    </row>
    <row r="9" spans="1:8" x14ac:dyDescent="0.25">
      <c r="A9" s="35">
        <v>6</v>
      </c>
      <c r="B9" s="35" t="s">
        <v>609</v>
      </c>
      <c r="C9" s="35" t="s">
        <v>625</v>
      </c>
      <c r="D9" s="89" t="s">
        <v>812</v>
      </c>
      <c r="E9" s="171">
        <v>10</v>
      </c>
      <c r="F9" s="171">
        <f t="shared" si="0"/>
        <v>78.539816339744831</v>
      </c>
      <c r="G9" s="90"/>
      <c r="H9" s="91"/>
    </row>
    <row r="10" spans="1:8" x14ac:dyDescent="0.25">
      <c r="A10" s="35">
        <v>7</v>
      </c>
      <c r="B10" s="35" t="s">
        <v>598</v>
      </c>
      <c r="C10" s="35" t="s">
        <v>625</v>
      </c>
      <c r="D10" s="89" t="s">
        <v>813</v>
      </c>
      <c r="E10" s="171">
        <v>12.7</v>
      </c>
      <c r="F10" s="171">
        <f t="shared" si="0"/>
        <v>126.67686977437442</v>
      </c>
      <c r="G10" s="90"/>
      <c r="H10" s="91"/>
    </row>
    <row r="11" spans="1:8" x14ac:dyDescent="0.25">
      <c r="A11" s="35">
        <v>8</v>
      </c>
      <c r="B11" s="35" t="s">
        <v>814</v>
      </c>
      <c r="C11" s="35" t="s">
        <v>625</v>
      </c>
      <c r="D11" s="89" t="s">
        <v>815</v>
      </c>
      <c r="E11" s="171">
        <v>13.9</v>
      </c>
      <c r="F11" s="171">
        <f t="shared" si="0"/>
        <v>151.74677915002098</v>
      </c>
      <c r="G11" s="90"/>
      <c r="H11" s="91"/>
    </row>
    <row r="12" spans="1:8" x14ac:dyDescent="0.25">
      <c r="A12" s="35">
        <v>9</v>
      </c>
      <c r="B12" s="35" t="s">
        <v>816</v>
      </c>
      <c r="C12" s="35" t="s">
        <v>625</v>
      </c>
      <c r="D12" s="89" t="s">
        <v>817</v>
      </c>
      <c r="E12" s="171">
        <v>15.2</v>
      </c>
      <c r="F12" s="171">
        <f t="shared" si="0"/>
        <v>181.45839167134645</v>
      </c>
      <c r="G12" s="90"/>
      <c r="H12" s="91"/>
    </row>
    <row r="13" spans="1:8" x14ac:dyDescent="0.25">
      <c r="A13" s="35">
        <v>10</v>
      </c>
      <c r="B13" s="35" t="s">
        <v>818</v>
      </c>
      <c r="C13" s="35" t="s">
        <v>625</v>
      </c>
      <c r="D13" s="89" t="s">
        <v>819</v>
      </c>
      <c r="E13" s="171">
        <v>16.7</v>
      </c>
      <c r="F13" s="171">
        <f t="shared" si="0"/>
        <v>219.03969378991434</v>
      </c>
      <c r="G13" s="90"/>
      <c r="H13" s="91"/>
    </row>
    <row r="14" spans="1:8" x14ac:dyDescent="0.25">
      <c r="A14" s="35">
        <v>11</v>
      </c>
      <c r="B14" s="35" t="s">
        <v>820</v>
      </c>
      <c r="C14" s="35" t="s">
        <v>625</v>
      </c>
      <c r="D14" s="89" t="s">
        <v>821</v>
      </c>
      <c r="E14" s="171">
        <v>18.5</v>
      </c>
      <c r="F14" s="171">
        <f t="shared" si="0"/>
        <v>268.80252142277669</v>
      </c>
      <c r="G14" s="90"/>
      <c r="H14" s="91"/>
    </row>
    <row r="15" spans="1:8" x14ac:dyDescent="0.25">
      <c r="D15" s="89" t="s">
        <v>822</v>
      </c>
      <c r="E15" s="171">
        <v>19.899999999999999</v>
      </c>
      <c r="F15" s="171">
        <f t="shared" si="0"/>
        <v>311.02552668702344</v>
      </c>
      <c r="G15" s="90"/>
      <c r="H15" s="91"/>
    </row>
    <row r="16" spans="1:8" x14ac:dyDescent="0.25">
      <c r="A16" s="35">
        <v>12</v>
      </c>
      <c r="B16" s="35" t="s">
        <v>823</v>
      </c>
      <c r="C16" s="35" t="s">
        <v>625</v>
      </c>
      <c r="D16" s="89" t="s">
        <v>824</v>
      </c>
      <c r="E16" s="171">
        <v>21.2</v>
      </c>
      <c r="F16" s="171">
        <f t="shared" si="0"/>
        <v>352.98935055734916</v>
      </c>
      <c r="G16" s="90"/>
      <c r="H16" s="91"/>
    </row>
    <row r="17" spans="1:8" x14ac:dyDescent="0.25">
      <c r="D17" s="89" t="s">
        <v>825</v>
      </c>
      <c r="E17" s="171">
        <v>22.4</v>
      </c>
      <c r="F17" s="171">
        <f t="shared" si="0"/>
        <v>394.08138246630358</v>
      </c>
      <c r="G17" s="90"/>
      <c r="H17" s="91"/>
    </row>
    <row r="18" spans="1:8" x14ac:dyDescent="0.25">
      <c r="A18" s="35">
        <v>13</v>
      </c>
      <c r="B18" s="35" t="s">
        <v>826</v>
      </c>
      <c r="C18" s="35" t="s">
        <v>625</v>
      </c>
      <c r="D18" s="89" t="s">
        <v>827</v>
      </c>
      <c r="E18" s="171">
        <v>24.6</v>
      </c>
      <c r="F18" s="171">
        <f t="shared" si="0"/>
        <v>475.29155256159987</v>
      </c>
      <c r="G18" s="90"/>
      <c r="H18" s="91"/>
    </row>
    <row r="19" spans="1:8" x14ac:dyDescent="0.25">
      <c r="D19" s="89" t="s">
        <v>828</v>
      </c>
      <c r="E19" s="171">
        <v>27.5</v>
      </c>
      <c r="F19" s="171">
        <f t="shared" si="0"/>
        <v>593.95736106932031</v>
      </c>
      <c r="G19" s="90"/>
      <c r="H19" s="91"/>
    </row>
    <row r="20" spans="1:8" x14ac:dyDescent="0.25">
      <c r="A20" s="35">
        <v>14</v>
      </c>
      <c r="B20" s="35" t="s">
        <v>829</v>
      </c>
      <c r="C20" s="35" t="s">
        <v>625</v>
      </c>
    </row>
    <row r="21" spans="1:8" x14ac:dyDescent="0.25">
      <c r="A21" s="35">
        <v>15</v>
      </c>
      <c r="B21" s="35" t="s">
        <v>830</v>
      </c>
      <c r="C21" s="35" t="s">
        <v>625</v>
      </c>
      <c r="D21" s="89"/>
      <c r="E21" s="171"/>
      <c r="F21" s="171"/>
      <c r="G21" s="90"/>
      <c r="H21" s="91"/>
    </row>
    <row r="23" spans="1:8" x14ac:dyDescent="0.25">
      <c r="D23" s="89" t="s">
        <v>831</v>
      </c>
      <c r="E23" s="171">
        <v>8.1</v>
      </c>
      <c r="F23" s="171">
        <f t="shared" ref="F23:F57" si="1">+(E23/2)^2*PI()</f>
        <v>51.529973500506578</v>
      </c>
      <c r="G23" s="90"/>
      <c r="H23" s="91"/>
    </row>
    <row r="24" spans="1:8" x14ac:dyDescent="0.25">
      <c r="D24" s="89" t="s">
        <v>832</v>
      </c>
      <c r="E24" s="171">
        <v>8.5</v>
      </c>
      <c r="F24" s="171">
        <f t="shared" si="1"/>
        <v>56.745017305465637</v>
      </c>
      <c r="G24" s="90"/>
      <c r="H24" s="91"/>
    </row>
    <row r="25" spans="1:8" x14ac:dyDescent="0.25">
      <c r="D25" s="89" t="s">
        <v>833</v>
      </c>
      <c r="E25" s="171">
        <v>9.3000000000000007</v>
      </c>
      <c r="F25" s="171">
        <f t="shared" si="1"/>
        <v>67.929087152245302</v>
      </c>
      <c r="G25" s="90"/>
      <c r="H25" s="91"/>
    </row>
    <row r="26" spans="1:8" x14ac:dyDescent="0.25">
      <c r="A26" s="35">
        <v>16</v>
      </c>
      <c r="B26" s="35">
        <v>12</v>
      </c>
      <c r="C26" s="35" t="s">
        <v>600</v>
      </c>
      <c r="D26" s="89" t="s">
        <v>834</v>
      </c>
      <c r="E26" s="171">
        <v>9.1</v>
      </c>
      <c r="F26" s="171">
        <f t="shared" si="1"/>
        <v>65.038821910942687</v>
      </c>
      <c r="G26" s="90"/>
      <c r="H26" s="91"/>
    </row>
    <row r="27" spans="1:8" x14ac:dyDescent="0.25">
      <c r="A27" s="35">
        <v>17</v>
      </c>
      <c r="B27" s="35">
        <v>12</v>
      </c>
      <c r="C27" s="35" t="s">
        <v>638</v>
      </c>
      <c r="D27" s="89" t="s">
        <v>835</v>
      </c>
      <c r="E27" s="171">
        <v>9.6</v>
      </c>
      <c r="F27" s="171">
        <f t="shared" si="1"/>
        <v>72.382294738708836</v>
      </c>
      <c r="G27" s="90"/>
      <c r="H27" s="91"/>
    </row>
    <row r="28" spans="1:8" x14ac:dyDescent="0.25">
      <c r="A28" s="35">
        <v>18</v>
      </c>
      <c r="B28" s="35">
        <v>12</v>
      </c>
      <c r="C28" s="35" t="s">
        <v>645</v>
      </c>
      <c r="D28" s="89" t="s">
        <v>836</v>
      </c>
      <c r="E28" s="171">
        <v>10.5</v>
      </c>
      <c r="F28" s="171">
        <f t="shared" si="1"/>
        <v>86.59014751456867</v>
      </c>
      <c r="G28" s="90"/>
      <c r="H28" s="91"/>
    </row>
    <row r="29" spans="1:8" x14ac:dyDescent="0.25">
      <c r="A29" s="35">
        <v>19</v>
      </c>
      <c r="B29" s="35">
        <v>10</v>
      </c>
      <c r="C29" s="35" t="s">
        <v>600</v>
      </c>
      <c r="D29" s="89" t="s">
        <v>837</v>
      </c>
      <c r="E29" s="171">
        <v>10.8</v>
      </c>
      <c r="F29" s="171">
        <f t="shared" si="1"/>
        <v>91.608841778678382</v>
      </c>
      <c r="G29" s="90"/>
      <c r="H29" s="91"/>
    </row>
    <row r="30" spans="1:8" x14ac:dyDescent="0.25">
      <c r="A30" s="35">
        <v>20</v>
      </c>
      <c r="B30" s="35">
        <v>10</v>
      </c>
      <c r="C30" s="35" t="s">
        <v>638</v>
      </c>
      <c r="D30" s="89" t="s">
        <v>838</v>
      </c>
      <c r="E30" s="171">
        <v>11.5</v>
      </c>
      <c r="F30" s="171">
        <f t="shared" si="1"/>
        <v>103.86890710931253</v>
      </c>
      <c r="G30" s="90"/>
      <c r="H30" s="91"/>
    </row>
    <row r="31" spans="1:8" x14ac:dyDescent="0.25">
      <c r="A31" s="35">
        <v>21</v>
      </c>
      <c r="B31" s="35">
        <v>10</v>
      </c>
      <c r="C31" s="35" t="s">
        <v>645</v>
      </c>
      <c r="D31" s="89" t="s">
        <v>839</v>
      </c>
      <c r="E31" s="171">
        <v>12.5</v>
      </c>
      <c r="F31" s="171">
        <f t="shared" si="1"/>
        <v>122.7184630308513</v>
      </c>
      <c r="G31" s="90"/>
      <c r="H31" s="91"/>
    </row>
    <row r="32" spans="1:8" x14ac:dyDescent="0.25">
      <c r="A32" s="35">
        <v>22</v>
      </c>
      <c r="B32" s="35">
        <v>8</v>
      </c>
      <c r="C32" s="35" t="s">
        <v>600</v>
      </c>
      <c r="D32" s="89" t="s">
        <v>840</v>
      </c>
      <c r="E32" s="171">
        <v>14.2</v>
      </c>
      <c r="F32" s="171">
        <f t="shared" si="1"/>
        <v>158.36768566746147</v>
      </c>
      <c r="G32" s="90"/>
      <c r="H32" s="91"/>
    </row>
    <row r="33" spans="1:8" x14ac:dyDescent="0.25">
      <c r="A33" s="35">
        <v>23</v>
      </c>
      <c r="B33" s="35">
        <v>8</v>
      </c>
      <c r="C33" s="35" t="s">
        <v>638</v>
      </c>
      <c r="D33" s="89" t="s">
        <v>841</v>
      </c>
      <c r="E33" s="171">
        <v>15.1</v>
      </c>
      <c r="F33" s="171">
        <f t="shared" si="1"/>
        <v>179.07863523625218</v>
      </c>
      <c r="G33" s="90"/>
      <c r="H33" s="91"/>
    </row>
    <row r="34" spans="1:8" x14ac:dyDescent="0.25">
      <c r="A34" s="35">
        <v>24</v>
      </c>
      <c r="B34" s="35">
        <v>8</v>
      </c>
      <c r="C34" s="35" t="s">
        <v>645</v>
      </c>
      <c r="D34" s="89" t="s">
        <v>842</v>
      </c>
      <c r="E34" s="171">
        <v>16.5</v>
      </c>
      <c r="F34" s="171">
        <f t="shared" si="1"/>
        <v>213.8246499849553</v>
      </c>
      <c r="G34" s="90"/>
      <c r="H34" s="91"/>
    </row>
    <row r="35" spans="1:8" x14ac:dyDescent="0.25">
      <c r="A35" s="35">
        <v>25</v>
      </c>
      <c r="B35" s="35">
        <v>6</v>
      </c>
      <c r="C35" s="35" t="s">
        <v>600</v>
      </c>
      <c r="D35" s="89" t="s">
        <v>843</v>
      </c>
      <c r="E35" s="171">
        <v>16.100000000000001</v>
      </c>
      <c r="F35" s="171">
        <f t="shared" si="1"/>
        <v>203.58305793425259</v>
      </c>
      <c r="G35" s="90"/>
      <c r="H35" s="91"/>
    </row>
    <row r="36" spans="1:8" x14ac:dyDescent="0.25">
      <c r="A36" s="35">
        <v>26</v>
      </c>
      <c r="B36" s="35">
        <v>6</v>
      </c>
      <c r="C36" s="35" t="s">
        <v>638</v>
      </c>
      <c r="D36" s="89" t="s">
        <v>844</v>
      </c>
      <c r="E36" s="171">
        <v>17.100000000000001</v>
      </c>
      <c r="F36" s="171">
        <f t="shared" si="1"/>
        <v>229.65827695904787</v>
      </c>
      <c r="G36" s="90"/>
      <c r="H36" s="91"/>
    </row>
    <row r="37" spans="1:8" x14ac:dyDescent="0.25">
      <c r="A37" s="35">
        <v>27</v>
      </c>
      <c r="B37" s="35">
        <v>6</v>
      </c>
      <c r="C37" s="35" t="s">
        <v>645</v>
      </c>
      <c r="D37" s="89" t="s">
        <v>845</v>
      </c>
      <c r="E37" s="171">
        <v>18.8</v>
      </c>
      <c r="F37" s="171">
        <f t="shared" si="1"/>
        <v>277.59112687119415</v>
      </c>
      <c r="G37" s="90"/>
      <c r="H37" s="91"/>
    </row>
    <row r="38" spans="1:8" x14ac:dyDescent="0.25">
      <c r="A38" s="35">
        <v>28</v>
      </c>
      <c r="B38" s="35">
        <v>4</v>
      </c>
      <c r="C38" s="35" t="s">
        <v>600</v>
      </c>
      <c r="D38" s="89" t="s">
        <v>846</v>
      </c>
      <c r="E38" s="171">
        <v>19.600000000000001</v>
      </c>
      <c r="F38" s="171">
        <f t="shared" si="1"/>
        <v>301.71855845076379</v>
      </c>
      <c r="G38" s="90"/>
      <c r="H38" s="91"/>
    </row>
    <row r="39" spans="1:8" x14ac:dyDescent="0.25">
      <c r="A39" s="35">
        <v>29</v>
      </c>
      <c r="B39" s="35">
        <v>4</v>
      </c>
      <c r="C39" s="35" t="s">
        <v>638</v>
      </c>
      <c r="D39" s="89" t="s">
        <v>847</v>
      </c>
      <c r="E39" s="171">
        <v>20.9</v>
      </c>
      <c r="F39" s="171">
        <f t="shared" si="1"/>
        <v>343.06977175363932</v>
      </c>
      <c r="G39" s="90"/>
      <c r="H39" s="91"/>
    </row>
    <row r="40" spans="1:8" x14ac:dyDescent="0.25">
      <c r="A40" s="35">
        <v>30</v>
      </c>
      <c r="B40" s="35">
        <v>4</v>
      </c>
      <c r="C40" s="35" t="s">
        <v>645</v>
      </c>
      <c r="D40" s="89" t="s">
        <v>848</v>
      </c>
      <c r="E40" s="171">
        <v>24.1</v>
      </c>
      <c r="F40" s="171">
        <f t="shared" si="1"/>
        <v>456.167107282872</v>
      </c>
      <c r="G40" s="90"/>
      <c r="H40" s="91"/>
    </row>
    <row r="41" spans="1:8" x14ac:dyDescent="0.25">
      <c r="A41" s="35">
        <v>31</v>
      </c>
      <c r="B41" s="35">
        <v>2</v>
      </c>
      <c r="C41" s="35" t="s">
        <v>600</v>
      </c>
      <c r="D41" s="89" t="s">
        <v>849</v>
      </c>
      <c r="E41" s="171">
        <v>23.6</v>
      </c>
      <c r="F41" s="171">
        <f t="shared" si="1"/>
        <v>437.43536108584283</v>
      </c>
      <c r="G41" s="90"/>
      <c r="H41" s="91"/>
    </row>
    <row r="42" spans="1:8" x14ac:dyDescent="0.25">
      <c r="A42" s="35">
        <v>32</v>
      </c>
      <c r="B42" s="35">
        <v>2</v>
      </c>
      <c r="C42" s="35" t="s">
        <v>638</v>
      </c>
      <c r="D42" s="89" t="s">
        <v>850</v>
      </c>
      <c r="E42" s="171">
        <v>25.1</v>
      </c>
      <c r="F42" s="171">
        <f t="shared" si="1"/>
        <v>494.80869692202646</v>
      </c>
      <c r="G42" s="90"/>
      <c r="H42" s="91"/>
    </row>
    <row r="43" spans="1:8" x14ac:dyDescent="0.25">
      <c r="A43" s="35">
        <v>33</v>
      </c>
      <c r="B43" s="35">
        <v>2</v>
      </c>
      <c r="C43" s="35" t="s">
        <v>645</v>
      </c>
      <c r="D43" s="89" t="s">
        <v>851</v>
      </c>
      <c r="E43" s="171">
        <v>27.7</v>
      </c>
      <c r="F43" s="171">
        <f t="shared" si="1"/>
        <v>602.62815679322807</v>
      </c>
      <c r="G43" s="90"/>
      <c r="H43" s="91"/>
    </row>
    <row r="44" spans="1:8" x14ac:dyDescent="0.25">
      <c r="A44" s="35">
        <v>34</v>
      </c>
      <c r="B44" s="35" t="s">
        <v>662</v>
      </c>
      <c r="C44" s="35" t="s">
        <v>600</v>
      </c>
      <c r="D44" s="89" t="s">
        <v>852</v>
      </c>
      <c r="E44" s="171">
        <v>28.2</v>
      </c>
      <c r="F44" s="171">
        <f t="shared" si="1"/>
        <v>624.58003546018676</v>
      </c>
      <c r="G44" s="90"/>
      <c r="H44" s="91"/>
    </row>
    <row r="45" spans="1:8" x14ac:dyDescent="0.25">
      <c r="A45" s="35">
        <v>35</v>
      </c>
      <c r="B45" s="35" t="s">
        <v>662</v>
      </c>
      <c r="C45" s="35" t="s">
        <v>638</v>
      </c>
      <c r="D45" s="89" t="s">
        <v>853</v>
      </c>
      <c r="E45" s="171">
        <v>30.1</v>
      </c>
      <c r="F45" s="171">
        <f t="shared" si="1"/>
        <v>711.57859001972224</v>
      </c>
      <c r="G45" s="90"/>
      <c r="H45" s="91"/>
    </row>
    <row r="46" spans="1:8" x14ac:dyDescent="0.25">
      <c r="A46" s="35">
        <v>36</v>
      </c>
      <c r="B46" s="35" t="s">
        <v>662</v>
      </c>
      <c r="C46" s="35" t="s">
        <v>645</v>
      </c>
      <c r="D46" s="89" t="s">
        <v>854</v>
      </c>
      <c r="E46" s="171">
        <v>33.200000000000003</v>
      </c>
      <c r="F46" s="171">
        <f t="shared" si="1"/>
        <v>865.69727162320362</v>
      </c>
      <c r="G46" s="90"/>
      <c r="H46" s="91"/>
    </row>
    <row r="47" spans="1:8" x14ac:dyDescent="0.25">
      <c r="A47" s="35">
        <v>37</v>
      </c>
      <c r="B47" s="35" t="s">
        <v>665</v>
      </c>
      <c r="C47" s="35" t="s">
        <v>600</v>
      </c>
      <c r="D47" s="89" t="s">
        <v>855</v>
      </c>
      <c r="E47" s="171">
        <v>30.4</v>
      </c>
      <c r="F47" s="171">
        <f t="shared" si="1"/>
        <v>725.83356668538579</v>
      </c>
      <c r="G47" s="90"/>
      <c r="H47" s="91"/>
    </row>
    <row r="48" spans="1:8" x14ac:dyDescent="0.25">
      <c r="A48" s="35">
        <v>38</v>
      </c>
      <c r="B48" s="35" t="s">
        <v>665</v>
      </c>
      <c r="C48" s="35" t="s">
        <v>638</v>
      </c>
      <c r="D48" s="89" t="s">
        <v>856</v>
      </c>
      <c r="E48" s="171">
        <v>32.5</v>
      </c>
      <c r="F48" s="171">
        <f t="shared" si="1"/>
        <v>829.57681008855479</v>
      </c>
      <c r="G48" s="90"/>
      <c r="H48" s="91"/>
    </row>
    <row r="49" spans="1:8" x14ac:dyDescent="0.25">
      <c r="A49" s="35">
        <v>39</v>
      </c>
      <c r="B49" s="35" t="s">
        <v>665</v>
      </c>
      <c r="C49" s="35" t="s">
        <v>645</v>
      </c>
      <c r="D49" s="89" t="s">
        <v>857</v>
      </c>
      <c r="E49" s="171">
        <v>36.9</v>
      </c>
      <c r="F49" s="171">
        <f t="shared" si="1"/>
        <v>1069.4059932635994</v>
      </c>
      <c r="G49" s="90"/>
      <c r="H49" s="91"/>
    </row>
    <row r="50" spans="1:8" x14ac:dyDescent="0.25">
      <c r="A50" s="35">
        <v>40</v>
      </c>
      <c r="B50" s="35" t="s">
        <v>668</v>
      </c>
      <c r="C50" s="35" t="s">
        <v>600</v>
      </c>
      <c r="D50" s="89" t="s">
        <v>858</v>
      </c>
      <c r="E50" s="171">
        <v>32.9</v>
      </c>
      <c r="F50" s="171">
        <f t="shared" si="1"/>
        <v>850.12282604303186</v>
      </c>
      <c r="G50" s="90"/>
      <c r="H50" s="91"/>
    </row>
    <row r="51" spans="1:8" x14ac:dyDescent="0.25">
      <c r="A51" s="35">
        <v>41</v>
      </c>
      <c r="B51" s="35" t="s">
        <v>668</v>
      </c>
      <c r="C51" s="35" t="s">
        <v>638</v>
      </c>
      <c r="D51" s="89" t="s">
        <v>859</v>
      </c>
      <c r="E51" s="171">
        <v>36.1</v>
      </c>
      <c r="F51" s="171">
        <f t="shared" si="1"/>
        <v>1023.5387405211886</v>
      </c>
      <c r="G51" s="90"/>
      <c r="H51" s="91"/>
    </row>
    <row r="52" spans="1:8" x14ac:dyDescent="0.25">
      <c r="A52" s="35">
        <v>42</v>
      </c>
      <c r="B52" s="35" t="s">
        <v>668</v>
      </c>
      <c r="C52" s="35" t="s">
        <v>645</v>
      </c>
      <c r="D52" s="89" t="s">
        <v>860</v>
      </c>
      <c r="E52" s="171">
        <v>39.799999999999997</v>
      </c>
      <c r="F52" s="171">
        <f t="shared" si="1"/>
        <v>1244.1021067480938</v>
      </c>
      <c r="G52" s="90"/>
      <c r="H52" s="91"/>
    </row>
    <row r="53" spans="1:8" x14ac:dyDescent="0.25">
      <c r="A53" s="35">
        <v>43</v>
      </c>
      <c r="B53" s="35" t="s">
        <v>671</v>
      </c>
      <c r="C53" s="35" t="s">
        <v>600</v>
      </c>
      <c r="D53" s="89" t="s">
        <v>861</v>
      </c>
      <c r="E53" s="171">
        <v>36.700000000000003</v>
      </c>
      <c r="F53" s="171">
        <f t="shared" si="1"/>
        <v>1057.8449322983893</v>
      </c>
      <c r="G53" s="90"/>
      <c r="H53" s="91"/>
    </row>
    <row r="54" spans="1:8" x14ac:dyDescent="0.25">
      <c r="A54" s="35">
        <v>44</v>
      </c>
      <c r="B54" s="35" t="s">
        <v>671</v>
      </c>
      <c r="C54" s="35" t="s">
        <v>638</v>
      </c>
      <c r="D54" s="89" t="s">
        <v>862</v>
      </c>
      <c r="E54" s="171">
        <v>39.1</v>
      </c>
      <c r="F54" s="171">
        <f t="shared" si="1"/>
        <v>1200.724566183653</v>
      </c>
      <c r="G54" s="90"/>
      <c r="H54" s="91"/>
    </row>
    <row r="55" spans="1:8" x14ac:dyDescent="0.25">
      <c r="A55" s="35">
        <v>45</v>
      </c>
      <c r="B55" s="35" t="s">
        <v>671</v>
      </c>
      <c r="C55" s="35" t="s">
        <v>645</v>
      </c>
      <c r="D55" s="89" t="s">
        <v>863</v>
      </c>
      <c r="E55" s="171">
        <v>44.7</v>
      </c>
      <c r="F55" s="171">
        <f t="shared" si="1"/>
        <v>1569.2962163028076</v>
      </c>
      <c r="G55" s="90"/>
      <c r="H55" s="91"/>
    </row>
    <row r="56" spans="1:8" ht="13.8" thickBot="1" x14ac:dyDescent="0.3">
      <c r="A56" s="35">
        <v>46</v>
      </c>
      <c r="B56" s="35">
        <v>250</v>
      </c>
      <c r="C56" s="35" t="s">
        <v>600</v>
      </c>
      <c r="D56" s="92" t="s">
        <v>864</v>
      </c>
      <c r="E56" s="172">
        <v>0</v>
      </c>
      <c r="F56" s="172">
        <f t="shared" si="1"/>
        <v>0</v>
      </c>
      <c r="G56" s="93"/>
      <c r="H56" s="94"/>
    </row>
    <row r="57" spans="1:8" x14ac:dyDescent="0.25">
      <c r="A57" s="35">
        <v>47</v>
      </c>
      <c r="B57" s="35">
        <v>250</v>
      </c>
      <c r="C57" s="35" t="s">
        <v>638</v>
      </c>
      <c r="D57" s="95" t="s">
        <v>865</v>
      </c>
      <c r="E57" s="173">
        <v>14.8</v>
      </c>
      <c r="F57" s="173">
        <f t="shared" si="1"/>
        <v>172.0336137105771</v>
      </c>
      <c r="G57" s="96"/>
      <c r="H57" s="97" t="s">
        <v>866</v>
      </c>
    </row>
    <row r="58" spans="1:8" x14ac:dyDescent="0.25">
      <c r="A58" s="35">
        <v>48</v>
      </c>
      <c r="B58" s="35">
        <v>250</v>
      </c>
      <c r="C58" s="35" t="s">
        <v>645</v>
      </c>
      <c r="D58" s="98" t="s">
        <v>867</v>
      </c>
      <c r="E58" s="174">
        <v>15.7</v>
      </c>
      <c r="F58" s="174">
        <f t="shared" ref="F58:F70" si="2">+(E58/2)^2*PI()</f>
        <v>193.592793295837</v>
      </c>
      <c r="G58" s="99"/>
      <c r="H58" s="100"/>
    </row>
    <row r="59" spans="1:8" x14ac:dyDescent="0.25">
      <c r="A59" s="35">
        <v>49</v>
      </c>
      <c r="B59" s="35">
        <v>350</v>
      </c>
      <c r="C59" s="35" t="s">
        <v>600</v>
      </c>
      <c r="D59" s="98" t="s">
        <v>868</v>
      </c>
      <c r="E59" s="174">
        <v>16.8</v>
      </c>
      <c r="F59" s="174">
        <f t="shared" si="2"/>
        <v>221.6707776372958</v>
      </c>
      <c r="G59" s="99"/>
      <c r="H59" s="100"/>
    </row>
    <row r="60" spans="1:8" x14ac:dyDescent="0.25">
      <c r="A60" s="35">
        <v>50</v>
      </c>
      <c r="B60" s="35">
        <v>350</v>
      </c>
      <c r="C60" s="35" t="s">
        <v>638</v>
      </c>
      <c r="D60" s="98" t="s">
        <v>869</v>
      </c>
      <c r="E60" s="174">
        <v>18.2</v>
      </c>
      <c r="F60" s="174">
        <f t="shared" si="2"/>
        <v>260.15528764377075</v>
      </c>
      <c r="G60" s="99"/>
      <c r="H60" s="100"/>
    </row>
    <row r="61" spans="1:8" x14ac:dyDescent="0.25">
      <c r="A61" s="35">
        <v>51</v>
      </c>
      <c r="B61" s="35">
        <v>350</v>
      </c>
      <c r="C61" s="35" t="s">
        <v>645</v>
      </c>
      <c r="D61" s="98" t="s">
        <v>870</v>
      </c>
      <c r="E61" s="174">
        <v>19.899999999999999</v>
      </c>
      <c r="F61" s="174">
        <f t="shared" si="2"/>
        <v>311.02552668702344</v>
      </c>
      <c r="G61" s="99"/>
      <c r="H61" s="100"/>
    </row>
    <row r="62" spans="1:8" x14ac:dyDescent="0.25">
      <c r="A62" s="35">
        <v>52</v>
      </c>
      <c r="B62" s="35">
        <v>500</v>
      </c>
      <c r="C62" s="35" t="s">
        <v>600</v>
      </c>
      <c r="D62" s="98" t="s">
        <v>871</v>
      </c>
      <c r="E62" s="174">
        <v>22</v>
      </c>
      <c r="F62" s="174">
        <f t="shared" si="2"/>
        <v>380.13271108436498</v>
      </c>
      <c r="G62" s="99"/>
      <c r="H62" s="100"/>
    </row>
    <row r="63" spans="1:8" x14ac:dyDescent="0.25">
      <c r="A63" s="35">
        <v>53</v>
      </c>
      <c r="B63" s="35">
        <v>500</v>
      </c>
      <c r="C63" s="35" t="s">
        <v>638</v>
      </c>
      <c r="D63" s="98" t="s">
        <v>872</v>
      </c>
      <c r="E63" s="174">
        <v>23.2</v>
      </c>
      <c r="F63" s="174">
        <f t="shared" si="2"/>
        <v>422.73270746704259</v>
      </c>
      <c r="G63" s="99"/>
      <c r="H63" s="100"/>
    </row>
    <row r="64" spans="1:8" x14ac:dyDescent="0.25">
      <c r="A64" s="35">
        <v>54</v>
      </c>
      <c r="B64" s="35">
        <v>500</v>
      </c>
      <c r="C64" s="35" t="s">
        <v>645</v>
      </c>
      <c r="D64" s="98" t="s">
        <v>873</v>
      </c>
      <c r="E64" s="174">
        <v>24.5</v>
      </c>
      <c r="F64" s="174">
        <f t="shared" si="2"/>
        <v>471.43524757931834</v>
      </c>
      <c r="G64" s="99"/>
      <c r="H64" s="100"/>
    </row>
    <row r="65" spans="4:8" x14ac:dyDescent="0.25">
      <c r="D65" s="98" t="s">
        <v>874</v>
      </c>
      <c r="E65" s="174">
        <v>25.7</v>
      </c>
      <c r="F65" s="174">
        <f t="shared" si="2"/>
        <v>518.74763294238062</v>
      </c>
      <c r="G65" s="99"/>
      <c r="H65" s="100"/>
    </row>
    <row r="66" spans="4:8" x14ac:dyDescent="0.25">
      <c r="D66" s="98" t="s">
        <v>875</v>
      </c>
      <c r="E66" s="174">
        <v>28.1</v>
      </c>
      <c r="F66" s="174">
        <f t="shared" si="2"/>
        <v>620.15824380025924</v>
      </c>
      <c r="G66" s="99"/>
      <c r="H66" s="100"/>
    </row>
    <row r="67" spans="4:8" x14ac:dyDescent="0.25">
      <c r="D67" s="98" t="s">
        <v>876</v>
      </c>
      <c r="E67" s="174">
        <v>31.2</v>
      </c>
      <c r="F67" s="174">
        <f t="shared" si="2"/>
        <v>764.53798817761196</v>
      </c>
      <c r="G67" s="99"/>
      <c r="H67" s="100"/>
    </row>
    <row r="68" spans="4:8" x14ac:dyDescent="0.25">
      <c r="D68" s="98" t="s">
        <v>877</v>
      </c>
      <c r="E68" s="174">
        <v>36.1</v>
      </c>
      <c r="F68" s="174">
        <f t="shared" si="2"/>
        <v>1023.5387405211886</v>
      </c>
      <c r="G68" s="99"/>
      <c r="H68" s="100"/>
    </row>
    <row r="69" spans="4:8" x14ac:dyDescent="0.25">
      <c r="D69" s="98" t="s">
        <v>878</v>
      </c>
      <c r="E69" s="174">
        <v>39.700000000000003</v>
      </c>
      <c r="F69" s="174">
        <f t="shared" si="2"/>
        <v>1237.8581913490843</v>
      </c>
      <c r="G69" s="99"/>
      <c r="H69" s="100"/>
    </row>
    <row r="70" spans="4:8" ht="13.8" thickBot="1" x14ac:dyDescent="0.3">
      <c r="D70" s="89" t="s">
        <v>864</v>
      </c>
      <c r="E70" s="171">
        <v>0</v>
      </c>
      <c r="F70" s="174">
        <f t="shared" si="2"/>
        <v>0</v>
      </c>
      <c r="G70" s="99"/>
      <c r="H70" s="100"/>
    </row>
    <row r="71" spans="4:8" x14ac:dyDescent="0.25">
      <c r="D71" s="101" t="s">
        <v>879</v>
      </c>
      <c r="E71" s="175">
        <v>16.2</v>
      </c>
      <c r="F71" s="175">
        <f>+(E71/2)^2*PI()</f>
        <v>206.11989400202631</v>
      </c>
      <c r="G71" s="102"/>
      <c r="H71" s="103" t="s">
        <v>880</v>
      </c>
    </row>
    <row r="72" spans="4:8" x14ac:dyDescent="0.25">
      <c r="D72" s="104" t="s">
        <v>881</v>
      </c>
      <c r="E72" s="176">
        <v>17.100000000000001</v>
      </c>
      <c r="F72" s="176">
        <f t="shared" ref="F72:F84" si="3">+(E72/2)^2*PI()</f>
        <v>229.65827695904787</v>
      </c>
      <c r="G72" s="105"/>
      <c r="H72" s="106"/>
    </row>
    <row r="73" spans="4:8" x14ac:dyDescent="0.25">
      <c r="D73" s="104" t="s">
        <v>882</v>
      </c>
      <c r="E73" s="176">
        <v>18.2</v>
      </c>
      <c r="F73" s="176">
        <f t="shared" si="3"/>
        <v>260.15528764377075</v>
      </c>
      <c r="G73" s="105"/>
      <c r="H73" s="106"/>
    </row>
    <row r="74" spans="4:8" x14ac:dyDescent="0.25">
      <c r="D74" s="104" t="s">
        <v>883</v>
      </c>
      <c r="E74" s="176">
        <v>19.600000000000001</v>
      </c>
      <c r="F74" s="176">
        <f t="shared" si="3"/>
        <v>301.71855845076379</v>
      </c>
      <c r="G74" s="105"/>
      <c r="H74" s="106"/>
    </row>
    <row r="75" spans="4:8" x14ac:dyDescent="0.25">
      <c r="D75" s="104" t="s">
        <v>884</v>
      </c>
      <c r="E75" s="176">
        <v>22.3</v>
      </c>
      <c r="F75" s="176">
        <f t="shared" si="3"/>
        <v>390.57065267591707</v>
      </c>
      <c r="G75" s="105"/>
      <c r="H75" s="106"/>
    </row>
    <row r="76" spans="4:8" x14ac:dyDescent="0.25">
      <c r="D76" s="104" t="s">
        <v>885</v>
      </c>
      <c r="E76" s="176">
        <v>23.4</v>
      </c>
      <c r="F76" s="176">
        <f t="shared" si="3"/>
        <v>430.05261834990671</v>
      </c>
      <c r="G76" s="105"/>
      <c r="H76" s="106"/>
    </row>
    <row r="77" spans="4:8" x14ac:dyDescent="0.25">
      <c r="D77" s="104" t="s">
        <v>886</v>
      </c>
      <c r="E77" s="176">
        <v>24.6</v>
      </c>
      <c r="F77" s="176">
        <f t="shared" si="3"/>
        <v>475.29155256159987</v>
      </c>
      <c r="G77" s="105"/>
      <c r="H77" s="106"/>
    </row>
    <row r="78" spans="4:8" x14ac:dyDescent="0.25">
      <c r="D78" s="104" t="s">
        <v>887</v>
      </c>
      <c r="E78" s="176">
        <v>25.9</v>
      </c>
      <c r="F78" s="176">
        <f t="shared" si="3"/>
        <v>526.85294198864221</v>
      </c>
      <c r="G78" s="105"/>
      <c r="H78" s="106"/>
    </row>
    <row r="79" spans="4:8" x14ac:dyDescent="0.25">
      <c r="D79" s="104" t="s">
        <v>888</v>
      </c>
      <c r="E79" s="176">
        <v>27.1</v>
      </c>
      <c r="F79" s="176">
        <f t="shared" si="3"/>
        <v>576.80426518072011</v>
      </c>
      <c r="G79" s="105"/>
      <c r="H79" s="106"/>
    </row>
    <row r="80" spans="4:8" x14ac:dyDescent="0.25">
      <c r="D80" s="104" t="s">
        <v>889</v>
      </c>
      <c r="E80" s="176">
        <v>29.5</v>
      </c>
      <c r="F80" s="176">
        <f t="shared" si="3"/>
        <v>683.4927516966294</v>
      </c>
      <c r="G80" s="105"/>
      <c r="H80" s="106"/>
    </row>
    <row r="81" spans="4:8" x14ac:dyDescent="0.25">
      <c r="D81" s="104" t="s">
        <v>890</v>
      </c>
      <c r="E81" s="176">
        <v>33.1</v>
      </c>
      <c r="F81" s="176">
        <f t="shared" si="3"/>
        <v>860.49008179987845</v>
      </c>
      <c r="G81" s="105"/>
      <c r="H81" s="106"/>
    </row>
    <row r="82" spans="4:8" x14ac:dyDescent="0.25">
      <c r="D82" s="104" t="s">
        <v>891</v>
      </c>
      <c r="E82" s="176">
        <v>37.5</v>
      </c>
      <c r="F82" s="176">
        <f t="shared" si="3"/>
        <v>1104.4661672776617</v>
      </c>
      <c r="G82" s="105"/>
      <c r="H82" s="106"/>
    </row>
    <row r="83" spans="4:8" x14ac:dyDescent="0.25">
      <c r="D83" s="104" t="s">
        <v>892</v>
      </c>
      <c r="E83" s="176">
        <v>41</v>
      </c>
      <c r="F83" s="176">
        <f t="shared" si="3"/>
        <v>1320.2543126711105</v>
      </c>
      <c r="G83" s="105"/>
      <c r="H83" s="106"/>
    </row>
    <row r="84" spans="4:8" ht="13.8" thickBot="1" x14ac:dyDescent="0.3">
      <c r="D84" s="107" t="s">
        <v>864</v>
      </c>
      <c r="E84" s="177">
        <v>0</v>
      </c>
      <c r="F84" s="177">
        <f t="shared" si="3"/>
        <v>0</v>
      </c>
      <c r="G84" s="108"/>
      <c r="H84" s="109"/>
    </row>
    <row r="85" spans="4:8" x14ac:dyDescent="0.25">
      <c r="D85" s="110" t="s">
        <v>893</v>
      </c>
      <c r="E85" s="178">
        <v>23.4</v>
      </c>
      <c r="F85" s="178">
        <f>+(E85/2)^2*PI()</f>
        <v>430.05261834990671</v>
      </c>
      <c r="G85" s="111"/>
      <c r="H85" s="112" t="s">
        <v>894</v>
      </c>
    </row>
    <row r="86" spans="4:8" x14ac:dyDescent="0.25">
      <c r="D86" s="113" t="s">
        <v>895</v>
      </c>
      <c r="E86" s="179">
        <v>25.1</v>
      </c>
      <c r="F86" s="179">
        <f t="shared" ref="F86:F125" si="4">+(E86/2)^2*PI()</f>
        <v>494.80869692202646</v>
      </c>
      <c r="G86" s="114"/>
      <c r="H86" s="115"/>
    </row>
    <row r="87" spans="4:8" x14ac:dyDescent="0.25">
      <c r="D87" s="113" t="s">
        <v>896</v>
      </c>
      <c r="E87" s="179">
        <v>26.1</v>
      </c>
      <c r="F87" s="179">
        <f t="shared" si="4"/>
        <v>535.02108288797581</v>
      </c>
      <c r="G87" s="114"/>
      <c r="H87" s="115"/>
    </row>
    <row r="88" spans="4:8" x14ac:dyDescent="0.25">
      <c r="D88" s="113" t="s">
        <v>897</v>
      </c>
      <c r="E88" s="179">
        <v>27.3</v>
      </c>
      <c r="F88" s="179">
        <f t="shared" si="4"/>
        <v>585.34939719848433</v>
      </c>
      <c r="G88" s="114"/>
      <c r="H88" s="115"/>
    </row>
    <row r="89" spans="4:8" x14ac:dyDescent="0.25">
      <c r="D89" s="113" t="s">
        <v>898</v>
      </c>
      <c r="E89" s="179">
        <v>28.6</v>
      </c>
      <c r="F89" s="179">
        <f t="shared" si="4"/>
        <v>642.42428173257679</v>
      </c>
      <c r="G89" s="114"/>
      <c r="H89" s="115"/>
    </row>
    <row r="90" spans="4:8" x14ac:dyDescent="0.25">
      <c r="D90" s="113" t="s">
        <v>899</v>
      </c>
      <c r="E90" s="179">
        <v>29.8</v>
      </c>
      <c r="F90" s="179">
        <f t="shared" si="4"/>
        <v>697.46498502347004</v>
      </c>
      <c r="G90" s="114"/>
      <c r="H90" s="115"/>
    </row>
    <row r="91" spans="4:8" x14ac:dyDescent="0.25">
      <c r="D91" s="113" t="s">
        <v>900</v>
      </c>
      <c r="E91" s="179">
        <v>32.799999999999997</v>
      </c>
      <c r="F91" s="179">
        <f t="shared" si="4"/>
        <v>844.96276010951067</v>
      </c>
      <c r="G91" s="114"/>
      <c r="H91" s="115"/>
    </row>
    <row r="92" spans="4:8" x14ac:dyDescent="0.25">
      <c r="D92" s="113" t="s">
        <v>901</v>
      </c>
      <c r="E92" s="179">
        <v>25.8</v>
      </c>
      <c r="F92" s="179">
        <f t="shared" si="4"/>
        <v>522.79243348387752</v>
      </c>
      <c r="G92" s="114"/>
      <c r="H92" s="115"/>
    </row>
    <row r="93" spans="4:8" x14ac:dyDescent="0.25">
      <c r="D93" s="113" t="s">
        <v>902</v>
      </c>
      <c r="E93" s="179">
        <v>40.200000000000003</v>
      </c>
      <c r="F93" s="179">
        <f t="shared" si="4"/>
        <v>1269.2348479768125</v>
      </c>
      <c r="G93" s="114"/>
      <c r="H93" s="115"/>
    </row>
    <row r="94" spans="4:8" x14ac:dyDescent="0.25">
      <c r="D94" s="113" t="s">
        <v>903</v>
      </c>
      <c r="E94" s="179">
        <v>45.3</v>
      </c>
      <c r="F94" s="179">
        <f t="shared" si="4"/>
        <v>1611.7077171262695</v>
      </c>
      <c r="G94" s="114"/>
      <c r="H94" s="115"/>
    </row>
    <row r="95" spans="4:8" ht="13.8" thickBot="1" x14ac:dyDescent="0.3">
      <c r="D95" s="116" t="s">
        <v>864</v>
      </c>
      <c r="E95" s="180">
        <v>0</v>
      </c>
      <c r="F95" s="180">
        <f t="shared" si="4"/>
        <v>0</v>
      </c>
      <c r="G95" s="117"/>
      <c r="H95" s="118"/>
    </row>
    <row r="96" spans="4:8" x14ac:dyDescent="0.25">
      <c r="D96" s="119" t="s">
        <v>904</v>
      </c>
      <c r="E96" s="181">
        <v>25.8</v>
      </c>
      <c r="F96" s="181">
        <f t="shared" si="4"/>
        <v>522.79243348387752</v>
      </c>
      <c r="G96" s="120"/>
      <c r="H96" s="121" t="s">
        <v>905</v>
      </c>
    </row>
    <row r="97" spans="4:8" x14ac:dyDescent="0.25">
      <c r="D97" s="122" t="s">
        <v>906</v>
      </c>
      <c r="E97" s="182">
        <v>27.5</v>
      </c>
      <c r="F97" s="182">
        <f t="shared" si="4"/>
        <v>593.95736106932031</v>
      </c>
      <c r="G97" s="123"/>
      <c r="H97" s="124"/>
    </row>
    <row r="98" spans="4:8" x14ac:dyDescent="0.25">
      <c r="D98" s="122" t="s">
        <v>907</v>
      </c>
      <c r="E98" s="182">
        <v>28.5</v>
      </c>
      <c r="F98" s="182">
        <f t="shared" si="4"/>
        <v>637.93965821957738</v>
      </c>
      <c r="G98" s="123"/>
      <c r="H98" s="124"/>
    </row>
    <row r="99" spans="4:8" x14ac:dyDescent="0.25">
      <c r="D99" s="122" t="s">
        <v>908</v>
      </c>
      <c r="E99" s="182">
        <v>29.7</v>
      </c>
      <c r="F99" s="182">
        <f t="shared" si="4"/>
        <v>692.79186595125509</v>
      </c>
      <c r="G99" s="123"/>
      <c r="H99" s="124"/>
    </row>
    <row r="100" spans="4:8" x14ac:dyDescent="0.25">
      <c r="D100" s="122" t="s">
        <v>909</v>
      </c>
      <c r="E100" s="182">
        <v>31</v>
      </c>
      <c r="F100" s="182">
        <f t="shared" si="4"/>
        <v>754.76763502494782</v>
      </c>
      <c r="G100" s="123"/>
      <c r="H100" s="124"/>
    </row>
    <row r="101" spans="4:8" x14ac:dyDescent="0.25">
      <c r="D101" s="122" t="s">
        <v>910</v>
      </c>
      <c r="E101" s="182">
        <v>32.799999999999997</v>
      </c>
      <c r="F101" s="182">
        <f t="shared" si="4"/>
        <v>844.96276010951067</v>
      </c>
      <c r="G101" s="123"/>
      <c r="H101" s="124"/>
    </row>
    <row r="102" spans="4:8" x14ac:dyDescent="0.25">
      <c r="D102" s="122" t="s">
        <v>911</v>
      </c>
      <c r="E102" s="182">
        <v>35.200000000000003</v>
      </c>
      <c r="F102" s="182">
        <f t="shared" si="4"/>
        <v>973.1397403759745</v>
      </c>
      <c r="G102" s="123"/>
      <c r="H102" s="124"/>
    </row>
    <row r="103" spans="4:8" x14ac:dyDescent="0.25">
      <c r="D103" s="122" t="s">
        <v>912</v>
      </c>
      <c r="E103" s="182">
        <v>38.200000000000003</v>
      </c>
      <c r="F103" s="182">
        <f t="shared" si="4"/>
        <v>1146.0844159560927</v>
      </c>
      <c r="G103" s="123"/>
      <c r="H103" s="124"/>
    </row>
    <row r="104" spans="4:8" x14ac:dyDescent="0.25">
      <c r="D104" s="122" t="s">
        <v>913</v>
      </c>
      <c r="E104" s="182">
        <v>44.2</v>
      </c>
      <c r="F104" s="182">
        <f t="shared" si="4"/>
        <v>1534.3852679397912</v>
      </c>
      <c r="G104" s="123"/>
      <c r="H104" s="124"/>
    </row>
    <row r="105" spans="4:8" x14ac:dyDescent="0.25">
      <c r="D105" s="122" t="s">
        <v>914</v>
      </c>
      <c r="E105" s="182">
        <v>48.6</v>
      </c>
      <c r="F105" s="182">
        <f t="shared" si="4"/>
        <v>1855.079046018237</v>
      </c>
      <c r="G105" s="123"/>
      <c r="H105" s="124"/>
    </row>
    <row r="106" spans="4:8" ht="13.8" thickBot="1" x14ac:dyDescent="0.3">
      <c r="D106" s="125" t="s">
        <v>864</v>
      </c>
      <c r="E106" s="183">
        <v>0</v>
      </c>
      <c r="F106" s="183">
        <f t="shared" si="4"/>
        <v>0</v>
      </c>
      <c r="G106" s="126"/>
      <c r="H106" s="127"/>
    </row>
    <row r="107" spans="4:8" x14ac:dyDescent="0.25">
      <c r="D107" s="128" t="s">
        <v>915</v>
      </c>
      <c r="E107" s="184">
        <v>34.1</v>
      </c>
      <c r="F107" s="184">
        <f t="shared" si="4"/>
        <v>913.26883838018693</v>
      </c>
      <c r="G107" s="129"/>
      <c r="H107" s="130" t="s">
        <v>916</v>
      </c>
    </row>
    <row r="108" spans="4:8" x14ac:dyDescent="0.25">
      <c r="D108" s="131" t="s">
        <v>917</v>
      </c>
      <c r="E108" s="185">
        <v>35.1</v>
      </c>
      <c r="F108" s="185">
        <f t="shared" si="4"/>
        <v>967.61839128729025</v>
      </c>
      <c r="G108" s="132"/>
      <c r="H108" s="133"/>
    </row>
    <row r="109" spans="4:8" x14ac:dyDescent="0.25">
      <c r="D109" s="131" t="s">
        <v>918</v>
      </c>
      <c r="E109" s="185">
        <v>36.299999999999997</v>
      </c>
      <c r="F109" s="185">
        <f t="shared" si="4"/>
        <v>1034.9113059271835</v>
      </c>
      <c r="G109" s="132"/>
      <c r="H109" s="133"/>
    </row>
    <row r="110" spans="4:8" x14ac:dyDescent="0.25">
      <c r="D110" s="131" t="s">
        <v>919</v>
      </c>
      <c r="E110" s="185">
        <v>37.6</v>
      </c>
      <c r="F110" s="185">
        <f t="shared" si="4"/>
        <v>1110.3645074847766</v>
      </c>
      <c r="G110" s="132"/>
      <c r="H110" s="133"/>
    </row>
    <row r="111" spans="4:8" x14ac:dyDescent="0.25">
      <c r="D111" s="131" t="s">
        <v>920</v>
      </c>
      <c r="E111" s="185">
        <v>38.799999999999997</v>
      </c>
      <c r="F111" s="185">
        <f t="shared" si="4"/>
        <v>1182.3698111050544</v>
      </c>
      <c r="G111" s="132"/>
      <c r="H111" s="133"/>
    </row>
    <row r="112" spans="4:8" x14ac:dyDescent="0.25">
      <c r="D112" s="131" t="s">
        <v>921</v>
      </c>
      <c r="E112" s="185">
        <v>41.2</v>
      </c>
      <c r="F112" s="185">
        <f t="shared" si="4"/>
        <v>1333.1662584773649</v>
      </c>
      <c r="G112" s="132"/>
      <c r="H112" s="133"/>
    </row>
    <row r="113" spans="4:8" x14ac:dyDescent="0.25">
      <c r="D113" s="131" t="s">
        <v>922</v>
      </c>
      <c r="E113" s="185">
        <v>45.8</v>
      </c>
      <c r="F113" s="185">
        <f t="shared" si="4"/>
        <v>1647.4826034690234</v>
      </c>
      <c r="G113" s="132"/>
      <c r="H113" s="133"/>
    </row>
    <row r="114" spans="4:8" x14ac:dyDescent="0.25">
      <c r="D114" s="131" t="s">
        <v>923</v>
      </c>
      <c r="E114" s="185">
        <v>51.1</v>
      </c>
      <c r="F114" s="185">
        <f t="shared" si="4"/>
        <v>2050.8395382450508</v>
      </c>
      <c r="G114" s="132"/>
      <c r="H114" s="133"/>
    </row>
    <row r="115" spans="4:8" x14ac:dyDescent="0.25">
      <c r="D115" s="131" t="s">
        <v>924</v>
      </c>
      <c r="E115" s="185">
        <v>54.6</v>
      </c>
      <c r="F115" s="185">
        <f t="shared" si="4"/>
        <v>2341.3975887939373</v>
      </c>
      <c r="G115" s="132"/>
      <c r="H115" s="133"/>
    </row>
    <row r="116" spans="4:8" ht="13.8" thickBot="1" x14ac:dyDescent="0.3">
      <c r="D116" s="134" t="s">
        <v>864</v>
      </c>
      <c r="E116" s="186">
        <v>0</v>
      </c>
      <c r="F116" s="186">
        <f t="shared" si="4"/>
        <v>0</v>
      </c>
      <c r="G116" s="135"/>
      <c r="H116" s="136"/>
    </row>
    <row r="117" spans="4:8" x14ac:dyDescent="0.25">
      <c r="D117" s="137" t="s">
        <v>925</v>
      </c>
      <c r="E117" s="187">
        <v>37.700000000000003</v>
      </c>
      <c r="F117" s="187">
        <f t="shared" si="4"/>
        <v>1116.2785556551594</v>
      </c>
      <c r="G117" s="138"/>
      <c r="H117" s="139" t="s">
        <v>926</v>
      </c>
    </row>
    <row r="118" spans="4:8" x14ac:dyDescent="0.25">
      <c r="D118" s="140" t="s">
        <v>927</v>
      </c>
      <c r="E118" s="188">
        <v>38.700000000000003</v>
      </c>
      <c r="F118" s="188">
        <f t="shared" si="4"/>
        <v>1176.2829753387246</v>
      </c>
      <c r="G118" s="141"/>
      <c r="H118" s="142"/>
    </row>
    <row r="119" spans="4:8" x14ac:dyDescent="0.25">
      <c r="D119" s="140" t="s">
        <v>928</v>
      </c>
      <c r="E119" s="188">
        <v>39.9</v>
      </c>
      <c r="F119" s="188">
        <f t="shared" si="4"/>
        <v>1250.3617301103716</v>
      </c>
      <c r="G119" s="141"/>
      <c r="H119" s="142"/>
    </row>
    <row r="120" spans="4:8" x14ac:dyDescent="0.25">
      <c r="D120" s="140" t="s">
        <v>929</v>
      </c>
      <c r="E120" s="188">
        <v>41.2</v>
      </c>
      <c r="F120" s="188">
        <f t="shared" si="4"/>
        <v>1333.1662584773649</v>
      </c>
      <c r="G120" s="141"/>
      <c r="H120" s="142"/>
    </row>
    <row r="121" spans="4:8" x14ac:dyDescent="0.25">
      <c r="D121" s="140" t="s">
        <v>930</v>
      </c>
      <c r="E121" s="188">
        <v>44</v>
      </c>
      <c r="F121" s="188">
        <f t="shared" si="4"/>
        <v>1520.5308443374599</v>
      </c>
      <c r="G121" s="141"/>
      <c r="H121" s="142"/>
    </row>
    <row r="122" spans="4:8" x14ac:dyDescent="0.25">
      <c r="D122" s="140" t="s">
        <v>931</v>
      </c>
      <c r="E122" s="188">
        <v>47.3</v>
      </c>
      <c r="F122" s="188">
        <f t="shared" si="4"/>
        <v>1757.1634569874766</v>
      </c>
      <c r="G122" s="141"/>
      <c r="H122" s="142"/>
    </row>
    <row r="123" spans="4:8" x14ac:dyDescent="0.25">
      <c r="D123" s="140" t="s">
        <v>932</v>
      </c>
      <c r="E123" s="188">
        <v>50.3</v>
      </c>
      <c r="F123" s="188">
        <f t="shared" si="4"/>
        <v>1987.1280392302497</v>
      </c>
      <c r="G123" s="141"/>
      <c r="H123" s="142"/>
    </row>
    <row r="124" spans="4:8" x14ac:dyDescent="0.25">
      <c r="D124" s="140" t="s">
        <v>933</v>
      </c>
      <c r="E124" s="188">
        <v>54.7</v>
      </c>
      <c r="F124" s="188">
        <f t="shared" si="4"/>
        <v>2349.9819907198712</v>
      </c>
      <c r="G124" s="141"/>
      <c r="H124" s="142"/>
    </row>
    <row r="125" spans="4:8" x14ac:dyDescent="0.25">
      <c r="D125" s="140" t="s">
        <v>934</v>
      </c>
      <c r="E125" s="188">
        <v>58.3</v>
      </c>
      <c r="F125" s="188">
        <f t="shared" si="4"/>
        <v>2669.481963589953</v>
      </c>
      <c r="G125" s="141"/>
      <c r="H125" s="142"/>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46D80-44B7-4692-85B1-C8BB105AD930}">
  <sheetPr codeName="Hoja20"/>
  <dimension ref="A3:AB199"/>
  <sheetViews>
    <sheetView topLeftCell="A82" workbookViewId="0">
      <selection activeCell="Y14" sqref="Y14"/>
    </sheetView>
  </sheetViews>
  <sheetFormatPr baseColWidth="10" defaultColWidth="11.44140625" defaultRowHeight="13.2" x14ac:dyDescent="0.25"/>
  <cols>
    <col min="1" max="3" width="11.5546875" style="54"/>
    <col min="4" max="4" width="14" style="54" customWidth="1"/>
    <col min="5" max="6" width="11.5546875" style="54"/>
    <col min="8" max="8" width="11.5546875" style="54"/>
    <col min="9" max="9" width="12.5546875" style="54" bestFit="1" customWidth="1"/>
    <col min="10" max="15" width="15.88671875" customWidth="1"/>
  </cols>
  <sheetData>
    <row r="3" spans="1:28" s="201" customFormat="1" x14ac:dyDescent="0.25">
      <c r="A3" s="257">
        <v>1</v>
      </c>
      <c r="B3" s="257">
        <v>2</v>
      </c>
      <c r="C3" s="257">
        <v>3</v>
      </c>
      <c r="D3" s="257">
        <v>4</v>
      </c>
      <c r="E3" s="257">
        <v>5</v>
      </c>
      <c r="F3" s="257">
        <v>6</v>
      </c>
      <c r="G3" s="257">
        <v>7</v>
      </c>
      <c r="H3" s="257">
        <v>8</v>
      </c>
      <c r="I3" s="257">
        <v>9</v>
      </c>
      <c r="J3" s="257">
        <v>10</v>
      </c>
      <c r="K3" s="257">
        <v>11</v>
      </c>
      <c r="L3" s="257">
        <v>12</v>
      </c>
      <c r="M3" s="257">
        <v>13</v>
      </c>
      <c r="N3" s="257">
        <v>14</v>
      </c>
      <c r="O3" s="257">
        <v>15</v>
      </c>
      <c r="P3" s="257">
        <v>16</v>
      </c>
      <c r="Q3" s="257">
        <v>17</v>
      </c>
      <c r="R3" s="257">
        <v>18</v>
      </c>
      <c r="S3" s="257">
        <v>19</v>
      </c>
      <c r="T3" s="257">
        <v>20</v>
      </c>
      <c r="U3" s="257">
        <v>21</v>
      </c>
      <c r="V3" s="257">
        <v>22</v>
      </c>
    </row>
    <row r="4" spans="1:28" x14ac:dyDescent="0.25">
      <c r="A4" s="1640" t="s">
        <v>935</v>
      </c>
      <c r="B4" s="1641"/>
      <c r="C4" s="1641"/>
      <c r="D4" s="1641"/>
      <c r="E4" s="1641"/>
      <c r="F4" s="1641"/>
      <c r="G4" s="1641"/>
      <c r="H4" s="1641"/>
      <c r="I4" s="1641"/>
      <c r="J4" s="1641"/>
      <c r="K4" s="1641"/>
      <c r="L4" s="1641"/>
      <c r="M4" s="1641"/>
      <c r="N4" s="1641"/>
      <c r="O4" s="1641"/>
      <c r="P4" s="1642"/>
    </row>
    <row r="5" spans="1:28" ht="55.5" customHeight="1" x14ac:dyDescent="0.25">
      <c r="A5" s="1632" t="s">
        <v>936</v>
      </c>
      <c r="B5" s="1632" t="s">
        <v>937</v>
      </c>
      <c r="C5" s="1632" t="s">
        <v>938</v>
      </c>
      <c r="D5" s="77" t="s">
        <v>939</v>
      </c>
      <c r="E5" s="77" t="s">
        <v>940</v>
      </c>
      <c r="F5" s="1639" t="s">
        <v>941</v>
      </c>
      <c r="G5" s="1639"/>
      <c r="H5" s="1639" t="s">
        <v>942</v>
      </c>
      <c r="I5" s="1639"/>
      <c r="J5" s="1632" t="s">
        <v>943</v>
      </c>
      <c r="K5" s="1632"/>
      <c r="L5" s="1632"/>
      <c r="M5" s="1632" t="s">
        <v>944</v>
      </c>
      <c r="N5" s="1632"/>
      <c r="O5" s="1632"/>
      <c r="P5" s="225" t="s">
        <v>945</v>
      </c>
      <c r="AB5" s="77" t="s">
        <v>946</v>
      </c>
    </row>
    <row r="6" spans="1:28" s="159" customFormat="1" ht="26.4" x14ac:dyDescent="0.25">
      <c r="A6" s="1632"/>
      <c r="B6" s="1632"/>
      <c r="C6" s="1632"/>
      <c r="D6" s="76" t="s">
        <v>798</v>
      </c>
      <c r="E6" s="76" t="s">
        <v>947</v>
      </c>
      <c r="F6" s="76" t="s">
        <v>784</v>
      </c>
      <c r="G6" s="76" t="s">
        <v>948</v>
      </c>
      <c r="H6" s="76" t="s">
        <v>784</v>
      </c>
      <c r="I6" s="76" t="s">
        <v>948</v>
      </c>
      <c r="J6" s="77"/>
      <c r="K6" s="77"/>
      <c r="L6" s="77"/>
      <c r="M6" s="77"/>
      <c r="N6" s="77" t="s">
        <v>949</v>
      </c>
      <c r="O6" s="77"/>
      <c r="P6" s="76"/>
      <c r="AB6" s="77" t="s">
        <v>947</v>
      </c>
    </row>
    <row r="7" spans="1:28" s="75" customFormat="1" x14ac:dyDescent="0.25">
      <c r="A7" s="76">
        <v>16</v>
      </c>
      <c r="B7" s="76" t="s">
        <v>598</v>
      </c>
      <c r="C7" s="76" t="s">
        <v>625</v>
      </c>
      <c r="D7" s="76">
        <v>10.11</v>
      </c>
      <c r="E7" s="146">
        <f>+(D7/2)^2*PI()</f>
        <v>80.277195616996323</v>
      </c>
      <c r="F7" s="207">
        <v>0</v>
      </c>
      <c r="G7" s="152">
        <v>0</v>
      </c>
      <c r="H7" s="207">
        <v>0.68847200000000008</v>
      </c>
      <c r="I7" s="207">
        <v>0.18044619422572178</v>
      </c>
      <c r="J7" s="78">
        <v>0</v>
      </c>
      <c r="K7" s="78">
        <v>0</v>
      </c>
      <c r="L7" s="78">
        <v>0</v>
      </c>
      <c r="M7" s="78">
        <v>0</v>
      </c>
      <c r="N7" s="78">
        <v>175</v>
      </c>
      <c r="O7" s="78">
        <v>0</v>
      </c>
      <c r="P7" s="78">
        <v>20</v>
      </c>
      <c r="Q7" s="149">
        <v>103</v>
      </c>
      <c r="R7" s="75">
        <f t="shared" ref="R7:R15" si="0">(E7/(0.0005067*1000))</f>
        <v>158.43141033549696</v>
      </c>
      <c r="S7" s="76" t="s">
        <v>598</v>
      </c>
      <c r="T7" s="83">
        <v>53.21</v>
      </c>
      <c r="U7" s="75">
        <f t="shared" ref="U7:U15" si="1">(T7/(0.0005067*1000))</f>
        <v>105.01282810341424</v>
      </c>
      <c r="V7" s="78">
        <f>+A7</f>
        <v>16</v>
      </c>
      <c r="Z7" s="76" t="s">
        <v>814</v>
      </c>
      <c r="AB7" s="76">
        <v>1.27</v>
      </c>
    </row>
    <row r="8" spans="1:28" s="75" customFormat="1" x14ac:dyDescent="0.25">
      <c r="A8" s="76">
        <v>17</v>
      </c>
      <c r="B8" s="76" t="s">
        <v>814</v>
      </c>
      <c r="C8" s="76" t="s">
        <v>625</v>
      </c>
      <c r="D8" s="76">
        <v>11.34</v>
      </c>
      <c r="E8" s="146">
        <f t="shared" ref="E8:E15" si="2">+(D8/2)^2*PI()</f>
        <v>100.9987480609929</v>
      </c>
      <c r="F8" s="207">
        <v>0</v>
      </c>
      <c r="G8" s="152">
        <v>0</v>
      </c>
      <c r="H8" s="207">
        <v>0.55098750000000007</v>
      </c>
      <c r="I8" s="207">
        <v>0.17716535433070865</v>
      </c>
      <c r="J8" s="78">
        <v>0</v>
      </c>
      <c r="K8" s="78">
        <v>0</v>
      </c>
      <c r="L8" s="78">
        <v>0</v>
      </c>
      <c r="M8" s="78">
        <v>0</v>
      </c>
      <c r="N8" s="78">
        <v>200</v>
      </c>
      <c r="O8" s="78">
        <v>0</v>
      </c>
      <c r="P8" s="78">
        <v>24</v>
      </c>
      <c r="Q8" s="149">
        <v>104</v>
      </c>
      <c r="R8" s="75">
        <f t="shared" si="0"/>
        <v>199.32652074401597</v>
      </c>
      <c r="S8" s="76" t="s">
        <v>814</v>
      </c>
      <c r="T8" s="83">
        <v>66.87</v>
      </c>
      <c r="U8" s="75">
        <f t="shared" si="1"/>
        <v>131.97158081705152</v>
      </c>
      <c r="V8" s="78">
        <f t="shared" ref="V8:V15" si="3">+A8</f>
        <v>17</v>
      </c>
      <c r="Z8" s="76" t="s">
        <v>816</v>
      </c>
      <c r="AB8" s="76">
        <v>1.27</v>
      </c>
    </row>
    <row r="9" spans="1:28" s="75" customFormat="1" x14ac:dyDescent="0.25">
      <c r="A9" s="76">
        <v>18</v>
      </c>
      <c r="B9" s="76" t="s">
        <v>816</v>
      </c>
      <c r="C9" s="76" t="s">
        <v>625</v>
      </c>
      <c r="D9" s="76">
        <v>12.75</v>
      </c>
      <c r="E9" s="146">
        <f t="shared" si="2"/>
        <v>127.67628893729768</v>
      </c>
      <c r="F9" s="207">
        <v>0</v>
      </c>
      <c r="G9" s="152">
        <v>0</v>
      </c>
      <c r="H9" s="207">
        <v>0.44813650000000005</v>
      </c>
      <c r="I9" s="207">
        <v>0.1706036745406824</v>
      </c>
      <c r="J9" s="78">
        <v>0</v>
      </c>
      <c r="K9" s="78">
        <v>0</v>
      </c>
      <c r="L9" s="78">
        <v>0</v>
      </c>
      <c r="M9" s="78">
        <v>0</v>
      </c>
      <c r="N9" s="78">
        <v>230</v>
      </c>
      <c r="O9" s="78">
        <v>0</v>
      </c>
      <c r="P9" s="78">
        <v>30</v>
      </c>
      <c r="Q9" s="149">
        <v>81</v>
      </c>
      <c r="R9" s="75">
        <f t="shared" si="0"/>
        <v>251.97609815926126</v>
      </c>
      <c r="S9" s="76" t="s">
        <v>816</v>
      </c>
      <c r="T9" s="83">
        <v>85.59</v>
      </c>
      <c r="U9" s="75">
        <f t="shared" si="1"/>
        <v>168.91651865008879</v>
      </c>
      <c r="V9" s="78">
        <f t="shared" si="3"/>
        <v>18</v>
      </c>
      <c r="Z9" s="76" t="s">
        <v>818</v>
      </c>
      <c r="AB9" s="76">
        <v>1.27</v>
      </c>
    </row>
    <row r="10" spans="1:28" s="75" customFormat="1" x14ac:dyDescent="0.25">
      <c r="A10" s="76">
        <v>19</v>
      </c>
      <c r="B10" s="76" t="s">
        <v>818</v>
      </c>
      <c r="C10" s="76" t="s">
        <v>625</v>
      </c>
      <c r="D10" s="76">
        <v>14.31</v>
      </c>
      <c r="E10" s="146">
        <f t="shared" si="2"/>
        <v>160.83077284769223</v>
      </c>
      <c r="F10" s="207">
        <v>0</v>
      </c>
      <c r="G10" s="152">
        <v>0</v>
      </c>
      <c r="H10" s="207">
        <v>0.34423600000000004</v>
      </c>
      <c r="I10" s="207">
        <v>0.16732283464566927</v>
      </c>
      <c r="J10" s="78">
        <v>0</v>
      </c>
      <c r="K10" s="78">
        <v>0</v>
      </c>
      <c r="L10" s="78">
        <v>0</v>
      </c>
      <c r="M10" s="78">
        <v>0</v>
      </c>
      <c r="N10" s="78">
        <v>270</v>
      </c>
      <c r="O10" s="78">
        <v>0</v>
      </c>
      <c r="P10" s="78">
        <v>38</v>
      </c>
      <c r="Q10" s="149">
        <v>82</v>
      </c>
      <c r="R10" s="75">
        <f t="shared" si="0"/>
        <v>317.4082748128917</v>
      </c>
      <c r="S10" s="76" t="s">
        <v>818</v>
      </c>
      <c r="T10" s="83">
        <v>107</v>
      </c>
      <c r="U10" s="75">
        <f t="shared" si="1"/>
        <v>211.17031774225379</v>
      </c>
      <c r="V10" s="78">
        <f t="shared" si="3"/>
        <v>19</v>
      </c>
      <c r="Z10" s="76" t="s">
        <v>950</v>
      </c>
      <c r="AB10" s="76">
        <v>1.27</v>
      </c>
    </row>
    <row r="11" spans="1:28" s="75" customFormat="1" x14ac:dyDescent="0.25">
      <c r="A11" s="76">
        <v>20</v>
      </c>
      <c r="B11" s="76" t="s">
        <v>950</v>
      </c>
      <c r="C11" s="76" t="s">
        <v>625</v>
      </c>
      <c r="D11" s="76">
        <v>16.07</v>
      </c>
      <c r="E11" s="146">
        <f t="shared" si="2"/>
        <v>202.82507016675771</v>
      </c>
      <c r="F11" s="207">
        <v>0</v>
      </c>
      <c r="G11" s="152">
        <v>0</v>
      </c>
      <c r="H11" s="207">
        <v>0.28199999999999997</v>
      </c>
      <c r="I11" s="207">
        <v>0.1706036745406824</v>
      </c>
      <c r="J11" s="78">
        <v>0</v>
      </c>
      <c r="K11" s="78">
        <v>0</v>
      </c>
      <c r="L11" s="78">
        <v>0</v>
      </c>
      <c r="M11" s="78">
        <v>0</v>
      </c>
      <c r="N11" s="78">
        <v>300</v>
      </c>
      <c r="O11" s="78">
        <v>0</v>
      </c>
      <c r="P11" s="78">
        <v>48</v>
      </c>
      <c r="Q11" s="149">
        <v>83</v>
      </c>
      <c r="R11" s="75">
        <f t="shared" si="0"/>
        <v>400.28630386176769</v>
      </c>
      <c r="S11" s="76" t="s">
        <v>950</v>
      </c>
      <c r="T11" s="84">
        <v>126.5</v>
      </c>
      <c r="U11" s="75">
        <f t="shared" si="1"/>
        <v>249.65462798500096</v>
      </c>
      <c r="V11" s="78">
        <f t="shared" si="3"/>
        <v>20</v>
      </c>
      <c r="Z11" s="147" t="s">
        <v>951</v>
      </c>
      <c r="AB11" s="76">
        <v>1.52</v>
      </c>
    </row>
    <row r="12" spans="1:28" s="75" customFormat="1" x14ac:dyDescent="0.25">
      <c r="A12" s="76">
        <v>21</v>
      </c>
      <c r="B12" s="147" t="s">
        <v>951</v>
      </c>
      <c r="C12" s="76" t="s">
        <v>625</v>
      </c>
      <c r="D12" s="76">
        <v>17.27</v>
      </c>
      <c r="E12" s="146">
        <f t="shared" si="2"/>
        <v>234.2472798879628</v>
      </c>
      <c r="F12" s="207">
        <v>0</v>
      </c>
      <c r="G12" s="152">
        <v>0</v>
      </c>
      <c r="H12" s="207">
        <v>0.20599999999999999</v>
      </c>
      <c r="I12" s="207">
        <v>0.16404199475065617</v>
      </c>
      <c r="J12" s="78">
        <v>0</v>
      </c>
      <c r="K12" s="78">
        <v>0</v>
      </c>
      <c r="L12" s="78">
        <v>0</v>
      </c>
      <c r="M12" s="78">
        <v>0</v>
      </c>
      <c r="N12" s="78">
        <v>370</v>
      </c>
      <c r="O12" s="78">
        <v>0</v>
      </c>
      <c r="P12" s="78">
        <v>65</v>
      </c>
      <c r="Q12" s="149">
        <v>84</v>
      </c>
      <c r="R12" s="75">
        <f t="shared" si="0"/>
        <v>462.29974321682016</v>
      </c>
      <c r="S12" s="147" t="s">
        <v>951</v>
      </c>
      <c r="T12" s="83">
        <v>177.1</v>
      </c>
      <c r="U12" s="75">
        <f t="shared" si="1"/>
        <v>349.51647917900135</v>
      </c>
      <c r="V12" s="78">
        <f t="shared" si="3"/>
        <v>21</v>
      </c>
      <c r="Z12" s="76" t="s">
        <v>952</v>
      </c>
      <c r="AB12" s="76">
        <v>1.52</v>
      </c>
    </row>
    <row r="13" spans="1:28" s="75" customFormat="1" x14ac:dyDescent="0.25">
      <c r="A13" s="76">
        <v>22</v>
      </c>
      <c r="B13" s="76" t="s">
        <v>952</v>
      </c>
      <c r="C13" s="76" t="s">
        <v>625</v>
      </c>
      <c r="D13" s="76">
        <v>18.3</v>
      </c>
      <c r="E13" s="146">
        <f t="shared" si="2"/>
        <v>263.02199094017146</v>
      </c>
      <c r="F13" s="207">
        <v>0</v>
      </c>
      <c r="G13" s="152">
        <v>0</v>
      </c>
      <c r="H13" s="207">
        <v>0.14799999999999999</v>
      </c>
      <c r="I13" s="207">
        <v>0.15748031496062992</v>
      </c>
      <c r="J13" s="78">
        <v>0</v>
      </c>
      <c r="K13" s="78">
        <v>0</v>
      </c>
      <c r="L13" s="78">
        <v>0</v>
      </c>
      <c r="M13" s="78">
        <v>0</v>
      </c>
      <c r="N13" s="78">
        <v>460</v>
      </c>
      <c r="O13" s="78">
        <v>0</v>
      </c>
      <c r="P13" s="78">
        <v>90</v>
      </c>
      <c r="Q13" s="149">
        <v>61</v>
      </c>
      <c r="R13" s="75">
        <f t="shared" si="0"/>
        <v>519.08820000033836</v>
      </c>
      <c r="S13" s="76" t="s">
        <v>952</v>
      </c>
      <c r="T13" s="85">
        <v>253.1</v>
      </c>
      <c r="U13" s="75">
        <f t="shared" si="1"/>
        <v>499.50661140714419</v>
      </c>
      <c r="V13" s="78">
        <f t="shared" si="3"/>
        <v>22</v>
      </c>
      <c r="Z13" s="76" t="s">
        <v>953</v>
      </c>
      <c r="AB13" s="76">
        <v>1.52</v>
      </c>
    </row>
    <row r="14" spans="1:28" s="75" customFormat="1" x14ac:dyDescent="0.25">
      <c r="A14" s="76">
        <v>23</v>
      </c>
      <c r="B14" s="76" t="s">
        <v>953</v>
      </c>
      <c r="C14" s="76" t="s">
        <v>625</v>
      </c>
      <c r="D14" s="76">
        <v>19.89</v>
      </c>
      <c r="E14" s="146">
        <f t="shared" si="2"/>
        <v>310.71301675780762</v>
      </c>
      <c r="F14" s="207">
        <v>0</v>
      </c>
      <c r="G14" s="152">
        <v>0</v>
      </c>
      <c r="H14" s="207">
        <v>0.10199999999999999</v>
      </c>
      <c r="I14" s="207">
        <v>0.15748031496062992</v>
      </c>
      <c r="J14" s="78">
        <v>0</v>
      </c>
      <c r="K14" s="78">
        <v>0</v>
      </c>
      <c r="L14" s="78">
        <v>0</v>
      </c>
      <c r="M14" s="78">
        <v>0</v>
      </c>
      <c r="N14" s="78">
        <v>590</v>
      </c>
      <c r="O14" s="78">
        <v>0</v>
      </c>
      <c r="P14" s="78">
        <v>110</v>
      </c>
      <c r="Q14" s="149">
        <v>62</v>
      </c>
      <c r="R14" s="75">
        <f t="shared" si="0"/>
        <v>613.20903248037814</v>
      </c>
      <c r="S14" s="76" t="s">
        <v>953</v>
      </c>
      <c r="T14" s="83">
        <v>380</v>
      </c>
      <c r="U14" s="75">
        <f t="shared" si="1"/>
        <v>749.95066114071437</v>
      </c>
      <c r="V14" s="78">
        <f t="shared" si="3"/>
        <v>23</v>
      </c>
      <c r="Z14" s="147" t="s">
        <v>954</v>
      </c>
      <c r="AB14" s="76">
        <v>1.83</v>
      </c>
    </row>
    <row r="15" spans="1:28" s="75" customFormat="1" x14ac:dyDescent="0.25">
      <c r="A15" s="76">
        <v>24</v>
      </c>
      <c r="B15" s="147" t="s">
        <v>954</v>
      </c>
      <c r="C15" s="76" t="s">
        <v>625</v>
      </c>
      <c r="D15" s="76">
        <v>20.7</v>
      </c>
      <c r="E15" s="146">
        <f t="shared" si="2"/>
        <v>336.53525903417255</v>
      </c>
      <c r="F15" s="207">
        <v>0</v>
      </c>
      <c r="G15" s="152">
        <v>0</v>
      </c>
      <c r="H15" s="207">
        <v>8.2000000000000003E-2</v>
      </c>
      <c r="I15" s="207">
        <v>0.15748031496062992</v>
      </c>
      <c r="J15" s="78">
        <v>0</v>
      </c>
      <c r="K15" s="78">
        <v>0</v>
      </c>
      <c r="L15" s="78">
        <v>0</v>
      </c>
      <c r="M15" s="78">
        <v>0</v>
      </c>
      <c r="N15" s="78">
        <v>700</v>
      </c>
      <c r="O15" s="78">
        <v>0</v>
      </c>
      <c r="P15" s="78">
        <v>125</v>
      </c>
      <c r="Q15" s="149">
        <v>63</v>
      </c>
      <c r="R15" s="75">
        <f t="shared" si="0"/>
        <v>664.1706316048402</v>
      </c>
      <c r="S15" s="147" t="s">
        <v>954</v>
      </c>
      <c r="T15" s="83">
        <v>506.7</v>
      </c>
      <c r="U15" s="75">
        <f t="shared" si="1"/>
        <v>999.99999999999989</v>
      </c>
      <c r="V15" s="78">
        <f t="shared" si="3"/>
        <v>24</v>
      </c>
      <c r="Z15" s="147" t="s">
        <v>954</v>
      </c>
      <c r="AB15" s="76">
        <v>1.83</v>
      </c>
    </row>
    <row r="16" spans="1:28" s="201" customFormat="1" x14ac:dyDescent="0.25">
      <c r="A16" s="257"/>
      <c r="B16" s="257"/>
      <c r="C16" s="257"/>
      <c r="D16" s="257"/>
      <c r="E16" s="257"/>
      <c r="F16" s="257"/>
      <c r="H16" s="257"/>
      <c r="I16" s="257"/>
    </row>
    <row r="17" spans="1:26" x14ac:dyDescent="0.25">
      <c r="A17" s="1636" t="s">
        <v>955</v>
      </c>
      <c r="B17" s="1636"/>
      <c r="C17" s="1636"/>
      <c r="D17" s="1636"/>
      <c r="E17" s="1636"/>
      <c r="F17" s="1636"/>
      <c r="G17" s="1636"/>
      <c r="H17" s="1636"/>
      <c r="I17" s="1636"/>
      <c r="J17" s="1636"/>
      <c r="K17" s="1636"/>
      <c r="L17" s="1636"/>
      <c r="M17" s="1636"/>
      <c r="N17" s="1636"/>
      <c r="O17" s="1636"/>
      <c r="P17" s="1636"/>
    </row>
    <row r="18" spans="1:26" ht="55.5" customHeight="1" x14ac:dyDescent="0.25">
      <c r="A18" s="1632" t="s">
        <v>936</v>
      </c>
      <c r="B18" s="1632" t="s">
        <v>937</v>
      </c>
      <c r="C18" s="1632" t="s">
        <v>938</v>
      </c>
      <c r="D18" s="77" t="s">
        <v>939</v>
      </c>
      <c r="E18" s="77" t="s">
        <v>940</v>
      </c>
      <c r="F18" s="1639" t="s">
        <v>941</v>
      </c>
      <c r="G18" s="1639"/>
      <c r="H18" s="1639" t="s">
        <v>942</v>
      </c>
      <c r="I18" s="1639"/>
      <c r="J18" s="1632" t="s">
        <v>943</v>
      </c>
      <c r="K18" s="1632"/>
      <c r="L18" s="1632"/>
      <c r="M18" s="1632" t="s">
        <v>944</v>
      </c>
      <c r="N18" s="1632"/>
      <c r="O18" s="1632"/>
      <c r="P18" s="225" t="s">
        <v>945</v>
      </c>
      <c r="W18" s="250" t="s">
        <v>956</v>
      </c>
      <c r="X18" s="250" t="s">
        <v>957</v>
      </c>
      <c r="Y18" s="1632" t="s">
        <v>958</v>
      </c>
    </row>
    <row r="19" spans="1:26" ht="39.6" x14ac:dyDescent="0.25">
      <c r="A19" s="1632"/>
      <c r="B19" s="1632"/>
      <c r="C19" s="1632"/>
      <c r="D19" s="76" t="s">
        <v>798</v>
      </c>
      <c r="E19" s="76" t="s">
        <v>947</v>
      </c>
      <c r="F19" s="76" t="s">
        <v>784</v>
      </c>
      <c r="G19" s="78" t="s">
        <v>948</v>
      </c>
      <c r="H19" s="76" t="s">
        <v>784</v>
      </c>
      <c r="I19" s="76" t="s">
        <v>948</v>
      </c>
      <c r="J19" s="77" t="s">
        <v>959</v>
      </c>
      <c r="K19" s="77" t="s">
        <v>960</v>
      </c>
      <c r="L19" s="77" t="s">
        <v>961</v>
      </c>
      <c r="M19" s="77" t="s">
        <v>962</v>
      </c>
      <c r="N19" s="77" t="s">
        <v>963</v>
      </c>
      <c r="O19" s="77" t="s">
        <v>961</v>
      </c>
      <c r="P19" s="78"/>
      <c r="W19" s="77" t="s">
        <v>798</v>
      </c>
      <c r="X19" s="76" t="s">
        <v>947</v>
      </c>
      <c r="Y19" s="1637"/>
    </row>
    <row r="20" spans="1:26" s="75" customFormat="1" x14ac:dyDescent="0.25">
      <c r="A20" s="76">
        <v>7</v>
      </c>
      <c r="B20" s="76" t="s">
        <v>598</v>
      </c>
      <c r="C20" s="76" t="s">
        <v>625</v>
      </c>
      <c r="D20" s="76">
        <v>22.3</v>
      </c>
      <c r="E20" s="146">
        <f>+(D20/2)^2*PI()</f>
        <v>390.57065267591707</v>
      </c>
      <c r="F20" s="207">
        <v>0.41277559055118113</v>
      </c>
      <c r="G20" s="152">
        <v>0.18044619422572178</v>
      </c>
      <c r="H20" s="207">
        <v>0.68847200000000008</v>
      </c>
      <c r="I20" s="207">
        <v>0.18044619422572178</v>
      </c>
      <c r="J20" s="78">
        <v>195</v>
      </c>
      <c r="K20" s="78">
        <v>260</v>
      </c>
      <c r="L20" s="78">
        <v>0</v>
      </c>
      <c r="M20" s="78">
        <v>150</v>
      </c>
      <c r="N20" s="78">
        <v>200</v>
      </c>
      <c r="O20" s="78">
        <v>0</v>
      </c>
      <c r="P20" s="78">
        <v>20</v>
      </c>
      <c r="Q20" s="149">
        <v>103</v>
      </c>
      <c r="R20" s="75">
        <f t="shared" ref="R20:R28" si="4">(E20/(0.0005067*1000))</f>
        <v>770.81241893806407</v>
      </c>
      <c r="S20" s="76" t="s">
        <v>598</v>
      </c>
      <c r="T20" s="83">
        <v>53.21</v>
      </c>
      <c r="U20" s="75">
        <f t="shared" ref="U20:U28" si="5">(T20/(0.0005067*1000))</f>
        <v>105.01282810341424</v>
      </c>
      <c r="V20" s="78">
        <v>7</v>
      </c>
      <c r="W20" s="76">
        <v>55</v>
      </c>
      <c r="X20" s="144">
        <f>+(PI())*(((W20)^(2))/(4))</f>
        <v>2375.8294442772813</v>
      </c>
      <c r="Y20" s="76" t="s">
        <v>806</v>
      </c>
      <c r="Z20" s="76" t="s">
        <v>814</v>
      </c>
    </row>
    <row r="21" spans="1:26" s="75" customFormat="1" x14ac:dyDescent="0.25">
      <c r="A21" s="76">
        <v>8</v>
      </c>
      <c r="B21" s="76" t="s">
        <v>814</v>
      </c>
      <c r="C21" s="76" t="s">
        <v>625</v>
      </c>
      <c r="D21" s="76">
        <v>23.4</v>
      </c>
      <c r="E21" s="146">
        <f t="shared" ref="E21:E28" si="6">+(D21/2)^2*PI()</f>
        <v>430.05261834990671</v>
      </c>
      <c r="F21" s="207">
        <v>0.34397965879265097</v>
      </c>
      <c r="G21" s="152">
        <v>0.17716535433070865</v>
      </c>
      <c r="H21" s="207">
        <v>0.55098750000000007</v>
      </c>
      <c r="I21" s="207">
        <v>0.17716535433070865</v>
      </c>
      <c r="J21" s="78">
        <v>220</v>
      </c>
      <c r="K21" s="78">
        <v>300</v>
      </c>
      <c r="L21" s="78">
        <v>0</v>
      </c>
      <c r="M21" s="78">
        <v>170</v>
      </c>
      <c r="N21" s="78">
        <v>230</v>
      </c>
      <c r="O21" s="78">
        <v>0</v>
      </c>
      <c r="P21" s="78">
        <v>24</v>
      </c>
      <c r="Q21" s="149">
        <v>104</v>
      </c>
      <c r="R21" s="75">
        <f t="shared" si="4"/>
        <v>848.73222488633644</v>
      </c>
      <c r="S21" s="76" t="s">
        <v>814</v>
      </c>
      <c r="T21" s="83">
        <v>66.87</v>
      </c>
      <c r="U21" s="75">
        <f t="shared" si="5"/>
        <v>131.97158081705152</v>
      </c>
      <c r="V21" s="78">
        <v>8</v>
      </c>
      <c r="W21" s="76">
        <v>57.3</v>
      </c>
      <c r="X21" s="144">
        <f t="shared" ref="X21:X28" si="7">+(PI())*(((W21)^(2))/(4))</f>
        <v>2578.6899359012077</v>
      </c>
      <c r="Y21" s="76" t="s">
        <v>806</v>
      </c>
      <c r="Z21" s="76" t="s">
        <v>816</v>
      </c>
    </row>
    <row r="22" spans="1:26" s="75" customFormat="1" x14ac:dyDescent="0.25">
      <c r="A22" s="76">
        <v>9</v>
      </c>
      <c r="B22" s="76" t="s">
        <v>816</v>
      </c>
      <c r="C22" s="76" t="s">
        <v>625</v>
      </c>
      <c r="D22" s="76">
        <v>24.6</v>
      </c>
      <c r="E22" s="146">
        <f t="shared" si="6"/>
        <v>475.29155256159987</v>
      </c>
      <c r="F22" s="207">
        <v>0.27174393044619422</v>
      </c>
      <c r="G22" s="152">
        <v>0.1706036745406824</v>
      </c>
      <c r="H22" s="207">
        <v>0.44813650000000005</v>
      </c>
      <c r="I22" s="207">
        <v>0.1706036745406824</v>
      </c>
      <c r="J22" s="78">
        <v>250</v>
      </c>
      <c r="K22" s="78">
        <v>345</v>
      </c>
      <c r="L22" s="78">
        <v>0</v>
      </c>
      <c r="M22" s="78">
        <v>198</v>
      </c>
      <c r="N22" s="78">
        <v>270</v>
      </c>
      <c r="O22" s="78">
        <v>0</v>
      </c>
      <c r="P22" s="78">
        <v>30</v>
      </c>
      <c r="Q22" s="149">
        <v>81</v>
      </c>
      <c r="R22" s="75">
        <f t="shared" si="4"/>
        <v>938.01372125833791</v>
      </c>
      <c r="S22" s="76" t="s">
        <v>816</v>
      </c>
      <c r="T22" s="83">
        <v>85.59</v>
      </c>
      <c r="U22" s="75">
        <f t="shared" si="5"/>
        <v>168.91651865008879</v>
      </c>
      <c r="V22" s="78">
        <v>9</v>
      </c>
      <c r="W22" s="76">
        <v>59.8</v>
      </c>
      <c r="X22" s="144">
        <f t="shared" si="7"/>
        <v>2808.6152482358107</v>
      </c>
      <c r="Y22" s="76" t="s">
        <v>808</v>
      </c>
      <c r="Z22" s="76" t="s">
        <v>818</v>
      </c>
    </row>
    <row r="23" spans="1:26" s="75" customFormat="1" x14ac:dyDescent="0.25">
      <c r="A23" s="76">
        <v>10</v>
      </c>
      <c r="B23" s="76" t="s">
        <v>818</v>
      </c>
      <c r="C23" s="76" t="s">
        <v>625</v>
      </c>
      <c r="D23" s="76">
        <v>25.9</v>
      </c>
      <c r="E23" s="146">
        <f t="shared" si="6"/>
        <v>526.85294198864221</v>
      </c>
      <c r="F23" s="207">
        <v>0.21670718503937009</v>
      </c>
      <c r="G23" s="152">
        <v>0.16732283464566927</v>
      </c>
      <c r="H23" s="207">
        <v>0.34423600000000004</v>
      </c>
      <c r="I23" s="207">
        <v>0.16732283464566927</v>
      </c>
      <c r="J23" s="78">
        <v>290</v>
      </c>
      <c r="K23" s="78">
        <v>400</v>
      </c>
      <c r="L23" s="78">
        <v>0</v>
      </c>
      <c r="M23" s="78">
        <v>225</v>
      </c>
      <c r="N23" s="78">
        <v>310</v>
      </c>
      <c r="O23" s="78">
        <v>0</v>
      </c>
      <c r="P23" s="78">
        <v>38</v>
      </c>
      <c r="Q23" s="149">
        <v>82</v>
      </c>
      <c r="R23" s="75">
        <f t="shared" si="4"/>
        <v>1039.7729267587176</v>
      </c>
      <c r="S23" s="76" t="s">
        <v>818</v>
      </c>
      <c r="T23" s="83">
        <v>107</v>
      </c>
      <c r="U23" s="75">
        <f t="shared" si="5"/>
        <v>211.17031774225379</v>
      </c>
      <c r="V23" s="78">
        <v>10</v>
      </c>
      <c r="W23" s="76">
        <v>62.7</v>
      </c>
      <c r="X23" s="144">
        <f t="shared" si="7"/>
        <v>3087.627945782755</v>
      </c>
      <c r="Y23" s="76" t="s">
        <v>808</v>
      </c>
      <c r="Z23" s="76" t="s">
        <v>964</v>
      </c>
    </row>
    <row r="24" spans="1:26" s="75" customFormat="1" x14ac:dyDescent="0.25">
      <c r="A24" s="76">
        <v>11</v>
      </c>
      <c r="B24" s="76" t="s">
        <v>964</v>
      </c>
      <c r="C24" s="76" t="s">
        <v>625</v>
      </c>
      <c r="D24" s="76">
        <v>27.1</v>
      </c>
      <c r="E24" s="146">
        <f t="shared" si="6"/>
        <v>576.80426518072011</v>
      </c>
      <c r="F24" s="207">
        <v>0.18574901574803152</v>
      </c>
      <c r="G24" s="152">
        <v>0.1706036745406824</v>
      </c>
      <c r="H24" s="207">
        <v>0.29595899999999997</v>
      </c>
      <c r="I24" s="207">
        <v>0.1706036745406824</v>
      </c>
      <c r="J24" s="78">
        <v>320</v>
      </c>
      <c r="K24" s="78">
        <v>445</v>
      </c>
      <c r="L24" s="78">
        <v>0</v>
      </c>
      <c r="M24" s="78">
        <v>250</v>
      </c>
      <c r="N24" s="78">
        <v>345</v>
      </c>
      <c r="O24" s="78">
        <v>0</v>
      </c>
      <c r="P24" s="78">
        <v>48</v>
      </c>
      <c r="Q24" s="149">
        <v>83</v>
      </c>
      <c r="R24" s="75">
        <f t="shared" si="4"/>
        <v>1138.3545790028027</v>
      </c>
      <c r="S24" s="76" t="s">
        <v>964</v>
      </c>
      <c r="T24" s="84">
        <v>126.5</v>
      </c>
      <c r="U24" s="75">
        <f t="shared" si="5"/>
        <v>249.65462798500096</v>
      </c>
      <c r="V24" s="78">
        <v>11</v>
      </c>
      <c r="W24" s="76">
        <v>65.2</v>
      </c>
      <c r="X24" s="144">
        <f t="shared" si="7"/>
        <v>3338.7590085290885</v>
      </c>
      <c r="Y24" s="76" t="s">
        <v>808</v>
      </c>
      <c r="Z24" s="76" t="s">
        <v>965</v>
      </c>
    </row>
    <row r="25" spans="1:26" s="75" customFormat="1" x14ac:dyDescent="0.25">
      <c r="A25" s="76">
        <v>12</v>
      </c>
      <c r="B25" s="76" t="s">
        <v>965</v>
      </c>
      <c r="C25" s="76" t="s">
        <v>625</v>
      </c>
      <c r="D25" s="76">
        <v>29.5</v>
      </c>
      <c r="E25" s="146">
        <f t="shared" si="6"/>
        <v>683.4927516966294</v>
      </c>
      <c r="F25" s="207">
        <v>0.13415206692913387</v>
      </c>
      <c r="G25" s="152">
        <v>0.16404199475065617</v>
      </c>
      <c r="H25" s="207">
        <v>0.216197</v>
      </c>
      <c r="I25" s="207">
        <v>0.16404199475065617</v>
      </c>
      <c r="J25" s="78">
        <v>385</v>
      </c>
      <c r="K25" s="78">
        <v>550</v>
      </c>
      <c r="L25" s="78">
        <v>0</v>
      </c>
      <c r="M25" s="78">
        <v>305</v>
      </c>
      <c r="N25" s="78">
        <v>430</v>
      </c>
      <c r="O25" s="78">
        <v>0</v>
      </c>
      <c r="P25" s="78">
        <v>65</v>
      </c>
      <c r="Q25" s="149">
        <v>84</v>
      </c>
      <c r="R25" s="75">
        <f t="shared" si="4"/>
        <v>1348.9101079467719</v>
      </c>
      <c r="S25" s="76" t="s">
        <v>965</v>
      </c>
      <c r="T25" s="83">
        <v>177.1</v>
      </c>
      <c r="U25" s="75">
        <f t="shared" si="5"/>
        <v>349.51647917900135</v>
      </c>
      <c r="V25" s="78">
        <v>12</v>
      </c>
      <c r="W25" s="76">
        <v>73.5</v>
      </c>
      <c r="X25" s="144">
        <f t="shared" si="7"/>
        <v>4242.9172282138652</v>
      </c>
      <c r="Y25" s="76" t="s">
        <v>810</v>
      </c>
      <c r="Z25" s="76" t="s">
        <v>966</v>
      </c>
    </row>
    <row r="26" spans="1:26" s="75" customFormat="1" x14ac:dyDescent="0.25">
      <c r="A26" s="76">
        <v>13</v>
      </c>
      <c r="B26" s="76" t="s">
        <v>966</v>
      </c>
      <c r="C26" s="76" t="s">
        <v>625</v>
      </c>
      <c r="D26" s="76">
        <v>33.1</v>
      </c>
      <c r="E26" s="146">
        <f t="shared" si="6"/>
        <v>860.49008179987845</v>
      </c>
      <c r="F26" s="207">
        <v>9.9754101049868774E-2</v>
      </c>
      <c r="G26" s="152">
        <v>0.15748031496062992</v>
      </c>
      <c r="H26" s="207">
        <v>0.15532600000000002</v>
      </c>
      <c r="I26" s="207">
        <v>0.15748031496062992</v>
      </c>
      <c r="J26" s="78">
        <v>470</v>
      </c>
      <c r="K26" s="78">
        <v>695</v>
      </c>
      <c r="L26" s="78">
        <v>0</v>
      </c>
      <c r="M26" s="78">
        <v>370</v>
      </c>
      <c r="N26" s="78">
        <v>545</v>
      </c>
      <c r="O26" s="78">
        <v>0</v>
      </c>
      <c r="P26" s="78">
        <v>90</v>
      </c>
      <c r="Q26" s="149">
        <v>61</v>
      </c>
      <c r="R26" s="75">
        <f t="shared" si="4"/>
        <v>1698.2239625022269</v>
      </c>
      <c r="S26" s="76" t="s">
        <v>966</v>
      </c>
      <c r="T26" s="85">
        <v>253.1</v>
      </c>
      <c r="U26" s="75">
        <f t="shared" si="5"/>
        <v>499.50661140714419</v>
      </c>
      <c r="V26" s="78">
        <v>13</v>
      </c>
      <c r="W26" s="76">
        <v>81</v>
      </c>
      <c r="X26" s="144">
        <f t="shared" si="7"/>
        <v>5152.9973500506585</v>
      </c>
      <c r="Y26" s="76" t="s">
        <v>810</v>
      </c>
      <c r="Z26" s="76" t="s">
        <v>967</v>
      </c>
    </row>
    <row r="27" spans="1:26" s="75" customFormat="1" x14ac:dyDescent="0.25">
      <c r="A27" s="76">
        <v>14</v>
      </c>
      <c r="B27" s="76" t="s">
        <v>967</v>
      </c>
      <c r="C27" s="76" t="s">
        <v>625</v>
      </c>
      <c r="D27" s="76">
        <v>37.5</v>
      </c>
      <c r="E27" s="146">
        <f t="shared" si="6"/>
        <v>1104.4661672776617</v>
      </c>
      <c r="F27" s="207">
        <v>7.234305000000002E-2</v>
      </c>
      <c r="G27" s="152">
        <v>0.15748031496062992</v>
      </c>
      <c r="H27" s="207">
        <v>0.10704900000000001</v>
      </c>
      <c r="I27" s="207">
        <v>0.15748031496062992</v>
      </c>
      <c r="J27" s="78">
        <v>585</v>
      </c>
      <c r="K27" s="78">
        <v>900</v>
      </c>
      <c r="L27" s="78">
        <v>0</v>
      </c>
      <c r="M27" s="78">
        <v>470</v>
      </c>
      <c r="N27" s="78">
        <v>710</v>
      </c>
      <c r="O27" s="78">
        <v>0</v>
      </c>
      <c r="P27" s="78">
        <v>110</v>
      </c>
      <c r="Q27" s="149">
        <v>62</v>
      </c>
      <c r="R27" s="75">
        <f t="shared" si="4"/>
        <v>2179.7240325195612</v>
      </c>
      <c r="S27" s="76" t="s">
        <v>967</v>
      </c>
      <c r="T27" s="83">
        <v>380</v>
      </c>
      <c r="U27" s="75">
        <f t="shared" si="5"/>
        <v>749.95066114071437</v>
      </c>
      <c r="V27" s="78">
        <v>14</v>
      </c>
      <c r="W27" s="76">
        <v>0</v>
      </c>
      <c r="X27" s="144">
        <f t="shared" si="7"/>
        <v>0</v>
      </c>
      <c r="Y27" s="155"/>
      <c r="Z27" s="76" t="s">
        <v>968</v>
      </c>
    </row>
    <row r="28" spans="1:26" s="75" customFormat="1" x14ac:dyDescent="0.25">
      <c r="A28" s="76">
        <v>15</v>
      </c>
      <c r="B28" s="76" t="s">
        <v>968</v>
      </c>
      <c r="C28" s="76" t="s">
        <v>625</v>
      </c>
      <c r="D28" s="76">
        <v>41</v>
      </c>
      <c r="E28" s="146">
        <f t="shared" si="6"/>
        <v>1320.2543126711105</v>
      </c>
      <c r="F28" s="207">
        <v>6.1858550000000005E-2</v>
      </c>
      <c r="G28" s="152">
        <v>0.15748031496062992</v>
      </c>
      <c r="H28" s="207">
        <v>8.605900000000001E-2</v>
      </c>
      <c r="I28" s="207">
        <v>0.15748031496062992</v>
      </c>
      <c r="J28" s="78">
        <v>670</v>
      </c>
      <c r="K28" s="78">
        <v>1075</v>
      </c>
      <c r="L28" s="78">
        <v>0</v>
      </c>
      <c r="M28" s="78">
        <v>545</v>
      </c>
      <c r="N28" s="78">
        <v>855</v>
      </c>
      <c r="O28" s="78">
        <v>0</v>
      </c>
      <c r="P28" s="78">
        <v>125</v>
      </c>
      <c r="Q28" s="149">
        <v>63</v>
      </c>
      <c r="R28" s="75">
        <f t="shared" si="4"/>
        <v>2605.5936701620494</v>
      </c>
      <c r="S28" s="76" t="s">
        <v>968</v>
      </c>
      <c r="T28" s="83">
        <v>506.7</v>
      </c>
      <c r="U28" s="75">
        <f t="shared" si="5"/>
        <v>999.99999999999989</v>
      </c>
      <c r="V28" s="78">
        <v>15</v>
      </c>
      <c r="W28" s="76">
        <v>0</v>
      </c>
      <c r="X28" s="144">
        <f t="shared" si="7"/>
        <v>0</v>
      </c>
      <c r="Y28" s="155"/>
      <c r="Z28" s="76" t="s">
        <v>968</v>
      </c>
    </row>
    <row r="29" spans="1:26" s="201" customFormat="1" x14ac:dyDescent="0.25">
      <c r="A29" s="257">
        <v>1</v>
      </c>
      <c r="B29" s="257">
        <v>2</v>
      </c>
      <c r="C29" s="257">
        <v>3</v>
      </c>
      <c r="D29" s="257">
        <v>4</v>
      </c>
      <c r="E29" s="257">
        <v>5</v>
      </c>
      <c r="F29" s="257">
        <v>6</v>
      </c>
      <c r="G29" s="257">
        <v>7</v>
      </c>
      <c r="H29" s="257">
        <v>8</v>
      </c>
      <c r="I29" s="257">
        <v>9</v>
      </c>
      <c r="J29" s="257">
        <v>10</v>
      </c>
      <c r="K29" s="257">
        <v>11</v>
      </c>
      <c r="L29" s="257">
        <v>12</v>
      </c>
      <c r="M29" s="257">
        <v>13</v>
      </c>
      <c r="N29" s="257">
        <v>14</v>
      </c>
      <c r="O29" s="257">
        <v>15</v>
      </c>
      <c r="P29" s="257">
        <v>16</v>
      </c>
      <c r="Q29" s="257">
        <v>17</v>
      </c>
      <c r="R29" s="257">
        <v>18</v>
      </c>
      <c r="S29" s="257">
        <v>19</v>
      </c>
      <c r="T29" s="257">
        <v>20</v>
      </c>
      <c r="U29" s="257">
        <v>21</v>
      </c>
      <c r="V29" s="257">
        <v>22</v>
      </c>
    </row>
    <row r="30" spans="1:26" x14ac:dyDescent="0.25">
      <c r="A30" s="1636" t="s">
        <v>969</v>
      </c>
      <c r="B30" s="1636"/>
      <c r="C30" s="1636"/>
      <c r="D30" s="1636"/>
      <c r="E30" s="1636"/>
      <c r="F30" s="1636"/>
      <c r="G30" s="1636"/>
      <c r="H30" s="1636"/>
      <c r="I30" s="1636"/>
      <c r="J30" s="1636"/>
      <c r="K30" s="1636"/>
      <c r="L30" s="1636"/>
      <c r="M30" s="1636"/>
      <c r="N30" s="1636"/>
      <c r="O30" s="1636"/>
      <c r="P30" s="1636"/>
    </row>
    <row r="31" spans="1:26" ht="55.5" customHeight="1" x14ac:dyDescent="0.25">
      <c r="A31" s="1632" t="s">
        <v>936</v>
      </c>
      <c r="B31" s="1632" t="s">
        <v>937</v>
      </c>
      <c r="C31" s="1632" t="s">
        <v>938</v>
      </c>
      <c r="D31" s="77" t="s">
        <v>939</v>
      </c>
      <c r="E31" s="77" t="s">
        <v>940</v>
      </c>
      <c r="F31" s="1639" t="s">
        <v>941</v>
      </c>
      <c r="G31" s="1639"/>
      <c r="H31" s="1639" t="s">
        <v>942</v>
      </c>
      <c r="I31" s="1639"/>
      <c r="J31" s="1632" t="s">
        <v>943</v>
      </c>
      <c r="K31" s="1632"/>
      <c r="L31" s="1632"/>
      <c r="M31" s="1632" t="s">
        <v>944</v>
      </c>
      <c r="N31" s="1632"/>
      <c r="O31" s="1632"/>
      <c r="P31" s="225" t="s">
        <v>945</v>
      </c>
    </row>
    <row r="32" spans="1:26" ht="39.6" x14ac:dyDescent="0.25">
      <c r="A32" s="1632"/>
      <c r="B32" s="1632"/>
      <c r="C32" s="1632"/>
      <c r="D32" s="76" t="s">
        <v>798</v>
      </c>
      <c r="E32" s="76" t="s">
        <v>947</v>
      </c>
      <c r="F32" s="76" t="s">
        <v>784</v>
      </c>
      <c r="G32" s="78" t="s">
        <v>948</v>
      </c>
      <c r="H32" s="76" t="s">
        <v>784</v>
      </c>
      <c r="I32" s="76" t="s">
        <v>948</v>
      </c>
      <c r="J32" s="77" t="s">
        <v>959</v>
      </c>
      <c r="K32" s="77" t="s">
        <v>960</v>
      </c>
      <c r="L32" s="77" t="s">
        <v>961</v>
      </c>
      <c r="M32" s="77" t="s">
        <v>962</v>
      </c>
      <c r="N32" s="77" t="s">
        <v>963</v>
      </c>
      <c r="O32" s="77" t="s">
        <v>961</v>
      </c>
      <c r="P32" s="78"/>
    </row>
    <row r="33" spans="1:26" s="75" customFormat="1" x14ac:dyDescent="0.25">
      <c r="A33" s="76">
        <v>7</v>
      </c>
      <c r="B33" s="76" t="s">
        <v>598</v>
      </c>
      <c r="C33" s="76" t="s">
        <v>625</v>
      </c>
      <c r="D33" s="76">
        <v>27.5</v>
      </c>
      <c r="E33" s="145">
        <f>+(D33/2)^2*PI()</f>
        <v>593.95736106932031</v>
      </c>
      <c r="F33" s="207">
        <f>+F20</f>
        <v>0.41277559055118113</v>
      </c>
      <c r="G33" s="152">
        <v>0.18044619422572178</v>
      </c>
      <c r="H33" s="207">
        <f>+H20</f>
        <v>0.68847200000000008</v>
      </c>
      <c r="I33" s="207">
        <v>0.18044619422572178</v>
      </c>
      <c r="J33" s="78">
        <v>195</v>
      </c>
      <c r="K33" s="78">
        <v>260</v>
      </c>
      <c r="L33" s="78">
        <v>0</v>
      </c>
      <c r="M33" s="78">
        <v>155</v>
      </c>
      <c r="N33" s="78">
        <v>200</v>
      </c>
      <c r="O33" s="78">
        <v>0</v>
      </c>
      <c r="P33" s="78">
        <v>20</v>
      </c>
      <c r="Q33" s="149">
        <v>103</v>
      </c>
      <c r="R33" s="75">
        <f t="shared" ref="R33:R41" si="8">(E33/(0.0005067*1000))</f>
        <v>1172.2071463771863</v>
      </c>
      <c r="S33" s="76" t="s">
        <v>598</v>
      </c>
      <c r="T33" s="83">
        <v>53.21</v>
      </c>
      <c r="U33" s="75">
        <f t="shared" ref="U33:U41" si="9">(T33/(0.0005067*1000))</f>
        <v>105.01282810341424</v>
      </c>
      <c r="V33" s="78">
        <v>7</v>
      </c>
      <c r="Z33" s="76" t="s">
        <v>814</v>
      </c>
    </row>
    <row r="34" spans="1:26" s="75" customFormat="1" x14ac:dyDescent="0.25">
      <c r="A34" s="76">
        <v>8</v>
      </c>
      <c r="B34" s="76" t="s">
        <v>814</v>
      </c>
      <c r="C34" s="76" t="s">
        <v>625</v>
      </c>
      <c r="D34" s="76">
        <v>28.5</v>
      </c>
      <c r="E34" s="146">
        <f t="shared" ref="E34:E41" si="10">+(D34/2)^2*PI()</f>
        <v>637.93965821957738</v>
      </c>
      <c r="F34" s="207">
        <f t="shared" ref="F34:F41" si="11">+F21</f>
        <v>0.34397965879265097</v>
      </c>
      <c r="G34" s="152">
        <v>0.17716535433070865</v>
      </c>
      <c r="H34" s="207">
        <f t="shared" ref="H34:H41" si="12">+H21</f>
        <v>0.55098750000000007</v>
      </c>
      <c r="I34" s="207">
        <v>0.17716535433070865</v>
      </c>
      <c r="J34" s="78">
        <v>220</v>
      </c>
      <c r="K34" s="78">
        <v>300</v>
      </c>
      <c r="L34" s="78">
        <v>0</v>
      </c>
      <c r="M34" s="78">
        <v>175</v>
      </c>
      <c r="N34" s="78">
        <v>235</v>
      </c>
      <c r="O34" s="78">
        <v>0</v>
      </c>
      <c r="P34" s="78">
        <v>24</v>
      </c>
      <c r="Q34" s="149">
        <v>104</v>
      </c>
      <c r="R34" s="75">
        <f t="shared" si="8"/>
        <v>1259.0086011832984</v>
      </c>
      <c r="S34" s="76" t="s">
        <v>814</v>
      </c>
      <c r="T34" s="83">
        <v>66.87</v>
      </c>
      <c r="U34" s="75">
        <f t="shared" si="9"/>
        <v>131.97158081705152</v>
      </c>
      <c r="V34" s="78">
        <v>8</v>
      </c>
      <c r="Z34" s="76" t="s">
        <v>816</v>
      </c>
    </row>
    <row r="35" spans="1:26" s="75" customFormat="1" x14ac:dyDescent="0.25">
      <c r="A35" s="76">
        <v>9</v>
      </c>
      <c r="B35" s="76" t="s">
        <v>816</v>
      </c>
      <c r="C35" s="76" t="s">
        <v>625</v>
      </c>
      <c r="D35" s="76">
        <v>29.7</v>
      </c>
      <c r="E35" s="146">
        <f t="shared" si="10"/>
        <v>692.79186595125509</v>
      </c>
      <c r="F35" s="207">
        <f t="shared" si="11"/>
        <v>0.27174393044619422</v>
      </c>
      <c r="G35" s="152">
        <v>0.1706036745406824</v>
      </c>
      <c r="H35" s="207">
        <f t="shared" si="12"/>
        <v>0.44813650000000005</v>
      </c>
      <c r="I35" s="207">
        <v>0.1706036745406824</v>
      </c>
      <c r="J35" s="78">
        <v>250</v>
      </c>
      <c r="K35" s="78">
        <v>345</v>
      </c>
      <c r="L35" s="78">
        <v>0</v>
      </c>
      <c r="M35" s="78">
        <v>200</v>
      </c>
      <c r="N35" s="78">
        <v>270</v>
      </c>
      <c r="O35" s="78">
        <v>0</v>
      </c>
      <c r="P35" s="78">
        <v>30</v>
      </c>
      <c r="Q35" s="149">
        <v>81</v>
      </c>
      <c r="R35" s="75">
        <f t="shared" si="8"/>
        <v>1367.2624155343499</v>
      </c>
      <c r="S35" s="76" t="s">
        <v>816</v>
      </c>
      <c r="T35" s="83">
        <v>85.59</v>
      </c>
      <c r="U35" s="75">
        <f t="shared" si="9"/>
        <v>168.91651865008879</v>
      </c>
      <c r="V35" s="78">
        <v>9</v>
      </c>
      <c r="Z35" s="76" t="s">
        <v>818</v>
      </c>
    </row>
    <row r="36" spans="1:26" s="75" customFormat="1" x14ac:dyDescent="0.25">
      <c r="A36" s="76">
        <v>10</v>
      </c>
      <c r="B36" s="76" t="s">
        <v>818</v>
      </c>
      <c r="C36" s="76" t="s">
        <v>625</v>
      </c>
      <c r="D36" s="76">
        <v>31</v>
      </c>
      <c r="E36" s="146">
        <f t="shared" si="10"/>
        <v>754.76763502494782</v>
      </c>
      <c r="F36" s="207">
        <f t="shared" si="11"/>
        <v>0.21670718503937009</v>
      </c>
      <c r="G36" s="152">
        <v>0.16732283464566927</v>
      </c>
      <c r="H36" s="207">
        <f t="shared" si="12"/>
        <v>0.34423600000000004</v>
      </c>
      <c r="I36" s="207">
        <v>0.16732283464566927</v>
      </c>
      <c r="J36" s="78">
        <v>290</v>
      </c>
      <c r="K36" s="78">
        <v>400</v>
      </c>
      <c r="L36" s="78">
        <v>0</v>
      </c>
      <c r="M36" s="78">
        <v>230</v>
      </c>
      <c r="N36" s="78">
        <v>310</v>
      </c>
      <c r="O36" s="78">
        <v>0</v>
      </c>
      <c r="P36" s="78">
        <v>38</v>
      </c>
      <c r="Q36" s="149">
        <v>82</v>
      </c>
      <c r="R36" s="75">
        <f t="shared" si="8"/>
        <v>1489.5749655120342</v>
      </c>
      <c r="S36" s="76" t="s">
        <v>818</v>
      </c>
      <c r="T36" s="83">
        <v>107</v>
      </c>
      <c r="U36" s="75">
        <f t="shared" si="9"/>
        <v>211.17031774225379</v>
      </c>
      <c r="V36" s="78">
        <v>10</v>
      </c>
      <c r="Z36" s="76" t="s">
        <v>964</v>
      </c>
    </row>
    <row r="37" spans="1:26" s="75" customFormat="1" x14ac:dyDescent="0.25">
      <c r="A37" s="76">
        <v>11</v>
      </c>
      <c r="B37" s="76" t="s">
        <v>964</v>
      </c>
      <c r="C37" s="76" t="s">
        <v>625</v>
      </c>
      <c r="D37" s="76">
        <v>32.799999999999997</v>
      </c>
      <c r="E37" s="146">
        <f t="shared" si="10"/>
        <v>844.96276010951067</v>
      </c>
      <c r="F37" s="207">
        <f t="shared" si="11"/>
        <v>0.18574901574803152</v>
      </c>
      <c r="G37" s="152">
        <v>0.1706036745406824</v>
      </c>
      <c r="H37" s="207">
        <f t="shared" si="12"/>
        <v>0.29595899999999997</v>
      </c>
      <c r="I37" s="207">
        <v>0.1706036745406824</v>
      </c>
      <c r="J37" s="78">
        <v>320</v>
      </c>
      <c r="K37" s="78">
        <v>445</v>
      </c>
      <c r="L37" s="78">
        <v>0</v>
      </c>
      <c r="M37" s="78">
        <v>250</v>
      </c>
      <c r="N37" s="78">
        <v>345</v>
      </c>
      <c r="O37" s="78">
        <v>0</v>
      </c>
      <c r="P37" s="78">
        <v>48</v>
      </c>
      <c r="Q37" s="149">
        <v>83</v>
      </c>
      <c r="R37" s="75">
        <f t="shared" si="8"/>
        <v>1667.5799489037115</v>
      </c>
      <c r="S37" s="76" t="s">
        <v>964</v>
      </c>
      <c r="T37" s="84">
        <v>126.5</v>
      </c>
      <c r="U37" s="75">
        <f t="shared" si="9"/>
        <v>249.65462798500096</v>
      </c>
      <c r="V37" s="78">
        <v>11</v>
      </c>
      <c r="Z37" s="76" t="s">
        <v>965</v>
      </c>
    </row>
    <row r="38" spans="1:26" s="75" customFormat="1" x14ac:dyDescent="0.25">
      <c r="A38" s="76">
        <v>12</v>
      </c>
      <c r="B38" s="76" t="s">
        <v>965</v>
      </c>
      <c r="C38" s="76" t="s">
        <v>625</v>
      </c>
      <c r="D38" s="76">
        <v>35.200000000000003</v>
      </c>
      <c r="E38" s="146">
        <f t="shared" si="10"/>
        <v>973.1397403759745</v>
      </c>
      <c r="F38" s="207">
        <f t="shared" si="11"/>
        <v>0.13415206692913387</v>
      </c>
      <c r="G38" s="152">
        <v>0.16404199475065617</v>
      </c>
      <c r="H38" s="207">
        <f t="shared" si="12"/>
        <v>0.216197</v>
      </c>
      <c r="I38" s="207">
        <v>0.16404199475065617</v>
      </c>
      <c r="J38" s="78">
        <v>385</v>
      </c>
      <c r="K38" s="78">
        <v>550</v>
      </c>
      <c r="L38" s="78">
        <v>0</v>
      </c>
      <c r="M38" s="78">
        <v>305</v>
      </c>
      <c r="N38" s="78">
        <v>430</v>
      </c>
      <c r="O38" s="78">
        <v>0</v>
      </c>
      <c r="P38" s="78">
        <v>65</v>
      </c>
      <c r="Q38" s="149">
        <v>84</v>
      </c>
      <c r="R38" s="75">
        <f t="shared" si="8"/>
        <v>1920.5441886243821</v>
      </c>
      <c r="S38" s="76" t="s">
        <v>965</v>
      </c>
      <c r="T38" s="83">
        <v>177.1</v>
      </c>
      <c r="U38" s="75">
        <f t="shared" si="9"/>
        <v>349.51647917900135</v>
      </c>
      <c r="V38" s="78">
        <v>12</v>
      </c>
      <c r="Z38" s="76" t="s">
        <v>966</v>
      </c>
    </row>
    <row r="39" spans="1:26" s="75" customFormat="1" x14ac:dyDescent="0.25">
      <c r="A39" s="76">
        <v>13</v>
      </c>
      <c r="B39" s="76" t="s">
        <v>966</v>
      </c>
      <c r="C39" s="76" t="s">
        <v>625</v>
      </c>
      <c r="D39" s="76">
        <v>38.200000000000003</v>
      </c>
      <c r="E39" s="146">
        <f t="shared" si="10"/>
        <v>1146.0844159560927</v>
      </c>
      <c r="F39" s="207">
        <f t="shared" si="11"/>
        <v>9.9754101049868774E-2</v>
      </c>
      <c r="G39" s="152">
        <v>0.15748031496062992</v>
      </c>
      <c r="H39" s="207">
        <f t="shared" si="12"/>
        <v>0.15532600000000002</v>
      </c>
      <c r="I39" s="207">
        <v>0.15748031496062992</v>
      </c>
      <c r="J39" s="78">
        <v>470</v>
      </c>
      <c r="K39" s="78">
        <v>685</v>
      </c>
      <c r="L39" s="78">
        <v>0</v>
      </c>
      <c r="M39" s="78">
        <v>370</v>
      </c>
      <c r="N39" s="78">
        <v>535</v>
      </c>
      <c r="O39" s="78">
        <v>0</v>
      </c>
      <c r="P39" s="78">
        <v>90</v>
      </c>
      <c r="Q39" s="149">
        <v>61</v>
      </c>
      <c r="R39" s="75">
        <f t="shared" si="8"/>
        <v>2261.8599091298452</v>
      </c>
      <c r="S39" s="76" t="s">
        <v>966</v>
      </c>
      <c r="T39" s="85">
        <v>253.1</v>
      </c>
      <c r="U39" s="75">
        <f t="shared" si="9"/>
        <v>499.50661140714419</v>
      </c>
      <c r="V39" s="78">
        <v>13</v>
      </c>
      <c r="Z39" s="76" t="s">
        <v>967</v>
      </c>
    </row>
    <row r="40" spans="1:26" s="75" customFormat="1" x14ac:dyDescent="0.25">
      <c r="A40" s="76">
        <v>14</v>
      </c>
      <c r="B40" s="76" t="s">
        <v>967</v>
      </c>
      <c r="C40" s="76" t="s">
        <v>625</v>
      </c>
      <c r="D40" s="76">
        <v>44.2</v>
      </c>
      <c r="E40" s="146">
        <f t="shared" si="10"/>
        <v>1534.3852679397912</v>
      </c>
      <c r="F40" s="207">
        <f t="shared" si="11"/>
        <v>7.234305000000002E-2</v>
      </c>
      <c r="G40" s="152">
        <v>0.15748031496062992</v>
      </c>
      <c r="H40" s="207">
        <f t="shared" si="12"/>
        <v>0.10704900000000001</v>
      </c>
      <c r="I40" s="207">
        <v>0.15748031496062992</v>
      </c>
      <c r="J40" s="78">
        <v>585</v>
      </c>
      <c r="K40" s="78">
        <v>885</v>
      </c>
      <c r="L40" s="78">
        <v>0</v>
      </c>
      <c r="M40" s="78">
        <v>455</v>
      </c>
      <c r="N40" s="78">
        <v>700</v>
      </c>
      <c r="O40" s="78">
        <v>0</v>
      </c>
      <c r="P40" s="78">
        <v>110</v>
      </c>
      <c r="Q40" s="149">
        <v>62</v>
      </c>
      <c r="R40" s="75">
        <f t="shared" si="8"/>
        <v>3028.1927529895224</v>
      </c>
      <c r="S40" s="76" t="s">
        <v>967</v>
      </c>
      <c r="T40" s="83">
        <v>380</v>
      </c>
      <c r="U40" s="75">
        <f t="shared" si="9"/>
        <v>749.95066114071437</v>
      </c>
      <c r="V40" s="78">
        <v>14</v>
      </c>
      <c r="Z40" s="76" t="s">
        <v>968</v>
      </c>
    </row>
    <row r="41" spans="1:26" s="75" customFormat="1" x14ac:dyDescent="0.25">
      <c r="A41" s="76">
        <v>15</v>
      </c>
      <c r="B41" s="76" t="s">
        <v>968</v>
      </c>
      <c r="C41" s="76" t="s">
        <v>625</v>
      </c>
      <c r="D41" s="76">
        <v>48.6</v>
      </c>
      <c r="E41" s="146">
        <f t="shared" si="10"/>
        <v>1855.079046018237</v>
      </c>
      <c r="F41" s="207">
        <f t="shared" si="11"/>
        <v>6.1858550000000005E-2</v>
      </c>
      <c r="G41" s="152">
        <v>0.15748031496062992</v>
      </c>
      <c r="H41" s="207">
        <f t="shared" si="12"/>
        <v>8.605900000000001E-2</v>
      </c>
      <c r="I41" s="207">
        <v>0.15748031496062992</v>
      </c>
      <c r="J41" s="78">
        <v>670</v>
      </c>
      <c r="K41" s="78">
        <v>1060</v>
      </c>
      <c r="L41" s="78">
        <v>0</v>
      </c>
      <c r="M41" s="78">
        <v>525</v>
      </c>
      <c r="N41" s="78">
        <v>840</v>
      </c>
      <c r="O41" s="78">
        <v>0</v>
      </c>
      <c r="P41" s="78">
        <v>125</v>
      </c>
      <c r="Q41" s="149">
        <v>63</v>
      </c>
      <c r="R41" s="75">
        <f t="shared" si="8"/>
        <v>3661.0993606043753</v>
      </c>
      <c r="S41" s="76" t="s">
        <v>968</v>
      </c>
      <c r="T41" s="83">
        <v>506.7</v>
      </c>
      <c r="U41" s="75">
        <f t="shared" si="9"/>
        <v>999.99999999999989</v>
      </c>
      <c r="V41" s="78">
        <v>15</v>
      </c>
      <c r="Z41" s="76" t="s">
        <v>968</v>
      </c>
    </row>
    <row r="42" spans="1:26" s="201" customFormat="1" x14ac:dyDescent="0.25">
      <c r="A42" s="257">
        <v>1</v>
      </c>
      <c r="B42" s="257">
        <v>2</v>
      </c>
      <c r="C42" s="257">
        <v>3</v>
      </c>
      <c r="D42" s="257">
        <v>4</v>
      </c>
      <c r="E42" s="257">
        <v>5</v>
      </c>
      <c r="F42" s="257">
        <v>6</v>
      </c>
      <c r="G42" s="257">
        <v>7</v>
      </c>
      <c r="H42" s="257">
        <v>8</v>
      </c>
      <c r="I42" s="257">
        <v>9</v>
      </c>
      <c r="J42" s="257">
        <v>10</v>
      </c>
      <c r="K42" s="257">
        <v>11</v>
      </c>
      <c r="L42" s="257">
        <v>12</v>
      </c>
      <c r="M42" s="257">
        <v>13</v>
      </c>
      <c r="N42" s="257">
        <v>14</v>
      </c>
      <c r="O42" s="257">
        <v>15</v>
      </c>
      <c r="P42" s="257">
        <v>16</v>
      </c>
      <c r="Q42" s="257">
        <v>17</v>
      </c>
      <c r="R42" s="257">
        <v>18</v>
      </c>
      <c r="S42" s="257">
        <v>19</v>
      </c>
      <c r="T42" s="257">
        <v>20</v>
      </c>
      <c r="U42" s="257">
        <v>21</v>
      </c>
      <c r="V42" s="257">
        <v>22</v>
      </c>
    </row>
    <row r="43" spans="1:26" x14ac:dyDescent="0.25">
      <c r="A43" s="1636" t="s">
        <v>970</v>
      </c>
      <c r="B43" s="1636"/>
      <c r="C43" s="1636"/>
      <c r="D43" s="1636"/>
      <c r="E43" s="1636"/>
      <c r="F43" s="1636"/>
      <c r="G43" s="1636"/>
      <c r="H43" s="1636"/>
      <c r="I43" s="1636"/>
      <c r="J43" s="1636"/>
      <c r="K43" s="1636"/>
      <c r="L43" s="1636"/>
      <c r="M43" s="1636"/>
      <c r="N43" s="1636"/>
      <c r="O43" s="1636"/>
      <c r="P43" s="1636"/>
    </row>
    <row r="44" spans="1:26" ht="55.5" customHeight="1" x14ac:dyDescent="0.25">
      <c r="A44" s="1632" t="s">
        <v>936</v>
      </c>
      <c r="B44" s="1632" t="s">
        <v>937</v>
      </c>
      <c r="C44" s="1632" t="s">
        <v>938</v>
      </c>
      <c r="D44" s="77" t="s">
        <v>939</v>
      </c>
      <c r="E44" s="77" t="s">
        <v>940</v>
      </c>
      <c r="F44" s="1639" t="s">
        <v>941</v>
      </c>
      <c r="G44" s="1639"/>
      <c r="H44" s="1639" t="s">
        <v>942</v>
      </c>
      <c r="I44" s="1639"/>
      <c r="J44" s="1632" t="s">
        <v>943</v>
      </c>
      <c r="K44" s="1632"/>
      <c r="L44" s="1632"/>
      <c r="M44" s="1632" t="s">
        <v>944</v>
      </c>
      <c r="N44" s="1632"/>
      <c r="O44" s="1632"/>
      <c r="P44" s="225" t="s">
        <v>945</v>
      </c>
    </row>
    <row r="45" spans="1:26" ht="39.6" x14ac:dyDescent="0.25">
      <c r="A45" s="1632"/>
      <c r="B45" s="1632"/>
      <c r="C45" s="1632"/>
      <c r="D45" s="76" t="s">
        <v>798</v>
      </c>
      <c r="E45" s="76" t="s">
        <v>947</v>
      </c>
      <c r="F45" s="76" t="s">
        <v>784</v>
      </c>
      <c r="G45" s="78" t="s">
        <v>948</v>
      </c>
      <c r="H45" s="76" t="s">
        <v>784</v>
      </c>
      <c r="I45" s="76" t="s">
        <v>948</v>
      </c>
      <c r="J45" s="77" t="s">
        <v>959</v>
      </c>
      <c r="K45" s="77" t="s">
        <v>960</v>
      </c>
      <c r="L45" s="77" t="s">
        <v>961</v>
      </c>
      <c r="M45" s="77" t="s">
        <v>962</v>
      </c>
      <c r="N45" s="77" t="s">
        <v>963</v>
      </c>
      <c r="O45" s="77" t="s">
        <v>961</v>
      </c>
      <c r="P45" s="78"/>
    </row>
    <row r="46" spans="1:26" s="75" customFormat="1" x14ac:dyDescent="0.25">
      <c r="A46" s="76">
        <v>7</v>
      </c>
      <c r="B46" s="76" t="s">
        <v>598</v>
      </c>
      <c r="C46" s="76" t="s">
        <v>625</v>
      </c>
      <c r="D46" s="76">
        <v>37.700000000000003</v>
      </c>
      <c r="E46" s="146">
        <f>+(D46/2)^2*PI()</f>
        <v>1116.2785556551594</v>
      </c>
      <c r="F46" s="207">
        <f>+F33</f>
        <v>0.41277559055118113</v>
      </c>
      <c r="G46" s="152">
        <v>0.18044619422572178</v>
      </c>
      <c r="H46" s="207">
        <f>+H33</f>
        <v>0.68847200000000008</v>
      </c>
      <c r="I46" s="207">
        <v>0.18044619422572178</v>
      </c>
      <c r="J46" s="78">
        <v>195</v>
      </c>
      <c r="K46" s="78">
        <v>260</v>
      </c>
      <c r="L46" s="78">
        <v>0</v>
      </c>
      <c r="M46" s="78">
        <v>150</v>
      </c>
      <c r="N46" s="78">
        <v>200</v>
      </c>
      <c r="O46" s="78">
        <v>0</v>
      </c>
      <c r="P46" s="78">
        <v>20</v>
      </c>
      <c r="Q46" s="149">
        <v>103</v>
      </c>
      <c r="R46" s="75">
        <f t="shared" ref="R46:R54" si="13">(E46/(0.0005067*1000))</f>
        <v>2203.036423238917</v>
      </c>
      <c r="S46" s="76" t="s">
        <v>598</v>
      </c>
      <c r="T46" s="83">
        <v>53.21</v>
      </c>
      <c r="U46" s="75">
        <f t="shared" ref="U46:U54" si="14">(T46/(0.0005067*1000))</f>
        <v>105.01282810341424</v>
      </c>
      <c r="V46" s="78">
        <v>7</v>
      </c>
      <c r="Z46" s="76" t="s">
        <v>814</v>
      </c>
    </row>
    <row r="47" spans="1:26" s="75" customFormat="1" x14ac:dyDescent="0.25">
      <c r="A47" s="76">
        <v>8</v>
      </c>
      <c r="B47" s="76" t="s">
        <v>814</v>
      </c>
      <c r="C47" s="76" t="s">
        <v>625</v>
      </c>
      <c r="D47" s="76">
        <v>38.700000000000003</v>
      </c>
      <c r="E47" s="146">
        <f t="shared" ref="E47:E54" si="15">+(D47/2)^2*PI()</f>
        <v>1176.2829753387246</v>
      </c>
      <c r="F47" s="207">
        <f t="shared" ref="F47:F54" si="16">+F34</f>
        <v>0.34397965879265097</v>
      </c>
      <c r="G47" s="152">
        <v>0.17716535433070865</v>
      </c>
      <c r="H47" s="207">
        <f t="shared" ref="H47:H54" si="17">+H34</f>
        <v>0.55098750000000007</v>
      </c>
      <c r="I47" s="207">
        <v>0.17716535433070865</v>
      </c>
      <c r="J47" s="78">
        <v>225</v>
      </c>
      <c r="K47" s="78">
        <v>300</v>
      </c>
      <c r="L47" s="78">
        <v>0</v>
      </c>
      <c r="M47" s="78">
        <v>175</v>
      </c>
      <c r="N47" s="78">
        <v>230</v>
      </c>
      <c r="O47" s="78">
        <v>0</v>
      </c>
      <c r="P47" s="78">
        <v>24</v>
      </c>
      <c r="Q47" s="149">
        <v>104</v>
      </c>
      <c r="R47" s="75">
        <f t="shared" si="13"/>
        <v>2321.4584080101135</v>
      </c>
      <c r="S47" s="76" t="s">
        <v>814</v>
      </c>
      <c r="T47" s="83">
        <v>66.87</v>
      </c>
      <c r="U47" s="75">
        <f t="shared" si="14"/>
        <v>131.97158081705152</v>
      </c>
      <c r="V47" s="78">
        <v>8</v>
      </c>
      <c r="Z47" s="76" t="s">
        <v>816</v>
      </c>
    </row>
    <row r="48" spans="1:26" s="75" customFormat="1" x14ac:dyDescent="0.25">
      <c r="A48" s="76">
        <v>9</v>
      </c>
      <c r="B48" s="76" t="s">
        <v>816</v>
      </c>
      <c r="C48" s="76" t="s">
        <v>625</v>
      </c>
      <c r="D48" s="76">
        <v>39.9</v>
      </c>
      <c r="E48" s="146">
        <f t="shared" si="15"/>
        <v>1250.3617301103716</v>
      </c>
      <c r="F48" s="207">
        <f t="shared" si="16"/>
        <v>0.27174393044619422</v>
      </c>
      <c r="G48" s="152">
        <v>0.1706036745406824</v>
      </c>
      <c r="H48" s="207">
        <f t="shared" si="17"/>
        <v>0.44813650000000005</v>
      </c>
      <c r="I48" s="207">
        <v>0.1706036745406824</v>
      </c>
      <c r="J48" s="78">
        <v>260</v>
      </c>
      <c r="K48" s="78">
        <v>345</v>
      </c>
      <c r="L48" s="78">
        <v>0</v>
      </c>
      <c r="M48" s="78">
        <v>200</v>
      </c>
      <c r="N48" s="78">
        <v>270</v>
      </c>
      <c r="O48" s="78">
        <v>0</v>
      </c>
      <c r="P48" s="78">
        <v>30</v>
      </c>
      <c r="Q48" s="149">
        <v>81</v>
      </c>
      <c r="R48" s="75">
        <f t="shared" si="13"/>
        <v>2467.6568583192648</v>
      </c>
      <c r="S48" s="76" t="s">
        <v>816</v>
      </c>
      <c r="T48" s="83">
        <v>85.59</v>
      </c>
      <c r="U48" s="75">
        <f t="shared" si="14"/>
        <v>168.91651865008879</v>
      </c>
      <c r="V48" s="78">
        <v>9</v>
      </c>
      <c r="Z48" s="76" t="s">
        <v>818</v>
      </c>
    </row>
    <row r="49" spans="1:26" s="75" customFormat="1" x14ac:dyDescent="0.25">
      <c r="A49" s="76">
        <v>10</v>
      </c>
      <c r="B49" s="76" t="s">
        <v>818</v>
      </c>
      <c r="C49" s="76" t="s">
        <v>625</v>
      </c>
      <c r="D49" s="76">
        <v>41.2</v>
      </c>
      <c r="E49" s="146">
        <f t="shared" si="15"/>
        <v>1333.1662584773649</v>
      </c>
      <c r="F49" s="207">
        <f t="shared" si="16"/>
        <v>0.21670718503937009</v>
      </c>
      <c r="G49" s="152">
        <v>0.16732283464566927</v>
      </c>
      <c r="H49" s="207">
        <f t="shared" si="17"/>
        <v>0.34423600000000004</v>
      </c>
      <c r="I49" s="207">
        <v>0.16732283464566927</v>
      </c>
      <c r="J49" s="78">
        <v>295</v>
      </c>
      <c r="K49" s="78">
        <v>395</v>
      </c>
      <c r="L49" s="78">
        <v>0</v>
      </c>
      <c r="M49" s="78">
        <v>230</v>
      </c>
      <c r="N49" s="78">
        <v>310</v>
      </c>
      <c r="O49" s="78">
        <v>0</v>
      </c>
      <c r="P49" s="78">
        <v>38</v>
      </c>
      <c r="Q49" s="149">
        <v>82</v>
      </c>
      <c r="R49" s="75">
        <f t="shared" si="13"/>
        <v>2631.0760972515586</v>
      </c>
      <c r="S49" s="76" t="s">
        <v>818</v>
      </c>
      <c r="T49" s="83">
        <v>107</v>
      </c>
      <c r="U49" s="75">
        <f t="shared" si="14"/>
        <v>211.17031774225379</v>
      </c>
      <c r="V49" s="78">
        <v>10</v>
      </c>
      <c r="Z49" s="76" t="s">
        <v>964</v>
      </c>
    </row>
    <row r="50" spans="1:26" s="75" customFormat="1" x14ac:dyDescent="0.25">
      <c r="A50" s="76">
        <v>11</v>
      </c>
      <c r="B50" s="76" t="s">
        <v>964</v>
      </c>
      <c r="C50" s="76" t="s">
        <v>625</v>
      </c>
      <c r="D50" s="76">
        <v>44</v>
      </c>
      <c r="E50" s="146">
        <f t="shared" si="15"/>
        <v>1520.5308443374599</v>
      </c>
      <c r="F50" s="207">
        <f t="shared" si="16"/>
        <v>0.18574901574803152</v>
      </c>
      <c r="G50" s="152">
        <v>0.1706036745406824</v>
      </c>
      <c r="H50" s="207">
        <f t="shared" si="17"/>
        <v>0.29595899999999997</v>
      </c>
      <c r="I50" s="207">
        <v>0.1706036745406824</v>
      </c>
      <c r="J50" s="78">
        <v>330</v>
      </c>
      <c r="K50" s="78">
        <v>440</v>
      </c>
      <c r="L50" s="78">
        <v>0</v>
      </c>
      <c r="M50" s="78">
        <v>255</v>
      </c>
      <c r="N50" s="78">
        <v>345</v>
      </c>
      <c r="O50" s="78">
        <v>0</v>
      </c>
      <c r="P50" s="78">
        <v>48</v>
      </c>
      <c r="Q50" s="149">
        <v>83</v>
      </c>
      <c r="R50" s="75">
        <f t="shared" si="13"/>
        <v>3000.8502947255965</v>
      </c>
      <c r="S50" s="76" t="s">
        <v>964</v>
      </c>
      <c r="T50" s="84">
        <v>126.5</v>
      </c>
      <c r="U50" s="75">
        <f t="shared" si="14"/>
        <v>249.65462798500096</v>
      </c>
      <c r="V50" s="78">
        <v>11</v>
      </c>
      <c r="Z50" s="76" t="s">
        <v>965</v>
      </c>
    </row>
    <row r="51" spans="1:26" s="75" customFormat="1" x14ac:dyDescent="0.25">
      <c r="A51" s="76">
        <v>12</v>
      </c>
      <c r="B51" s="76" t="s">
        <v>965</v>
      </c>
      <c r="C51" s="76" t="s">
        <v>625</v>
      </c>
      <c r="D51" s="76">
        <v>47.3</v>
      </c>
      <c r="E51" s="146">
        <f t="shared" si="15"/>
        <v>1757.1634569874766</v>
      </c>
      <c r="F51" s="207">
        <f t="shared" si="16"/>
        <v>0.13415206692913387</v>
      </c>
      <c r="G51" s="152">
        <v>0.16404199475065617</v>
      </c>
      <c r="H51" s="207">
        <f t="shared" si="17"/>
        <v>0.216197</v>
      </c>
      <c r="I51" s="207">
        <v>0.16404199475065617</v>
      </c>
      <c r="J51" s="78">
        <v>395</v>
      </c>
      <c r="K51" s="78">
        <v>545</v>
      </c>
      <c r="L51" s="78">
        <v>0</v>
      </c>
      <c r="M51" s="78">
        <v>310</v>
      </c>
      <c r="N51" s="78">
        <v>430</v>
      </c>
      <c r="O51" s="78">
        <v>0</v>
      </c>
      <c r="P51" s="78">
        <v>65</v>
      </c>
      <c r="Q51" s="149">
        <v>84</v>
      </c>
      <c r="R51" s="75">
        <f t="shared" si="13"/>
        <v>3467.8576218422663</v>
      </c>
      <c r="S51" s="76" t="s">
        <v>965</v>
      </c>
      <c r="T51" s="83">
        <v>177.1</v>
      </c>
      <c r="U51" s="75">
        <f t="shared" si="14"/>
        <v>349.51647917900135</v>
      </c>
      <c r="V51" s="78">
        <v>12</v>
      </c>
      <c r="Z51" s="76" t="s">
        <v>966</v>
      </c>
    </row>
    <row r="52" spans="1:26" s="75" customFormat="1" x14ac:dyDescent="0.25">
      <c r="A52" s="76">
        <v>13</v>
      </c>
      <c r="B52" s="76" t="s">
        <v>966</v>
      </c>
      <c r="C52" s="76" t="s">
        <v>625</v>
      </c>
      <c r="D52" s="76">
        <v>50.3</v>
      </c>
      <c r="E52" s="146">
        <f t="shared" si="15"/>
        <v>1987.1280392302497</v>
      </c>
      <c r="F52" s="207">
        <f t="shared" si="16"/>
        <v>9.9754101049868774E-2</v>
      </c>
      <c r="G52" s="152">
        <v>0.15748031496062992</v>
      </c>
      <c r="H52" s="207">
        <f t="shared" si="17"/>
        <v>0.15532600000000002</v>
      </c>
      <c r="I52" s="207">
        <v>0.15748031496062992</v>
      </c>
      <c r="J52" s="78">
        <v>480</v>
      </c>
      <c r="K52" s="78">
        <v>680</v>
      </c>
      <c r="L52" s="78">
        <v>0</v>
      </c>
      <c r="M52" s="78">
        <v>385</v>
      </c>
      <c r="N52" s="78">
        <v>530</v>
      </c>
      <c r="O52" s="78">
        <v>0</v>
      </c>
      <c r="P52" s="78">
        <v>90</v>
      </c>
      <c r="Q52" s="149">
        <v>61</v>
      </c>
      <c r="R52" s="75">
        <f t="shared" si="13"/>
        <v>3921.7052283999396</v>
      </c>
      <c r="S52" s="76" t="s">
        <v>966</v>
      </c>
      <c r="T52" s="85">
        <v>253.1</v>
      </c>
      <c r="U52" s="75">
        <f t="shared" si="14"/>
        <v>499.50661140714419</v>
      </c>
      <c r="V52" s="78">
        <v>13</v>
      </c>
      <c r="Z52" s="76" t="s">
        <v>967</v>
      </c>
    </row>
    <row r="53" spans="1:26" s="75" customFormat="1" x14ac:dyDescent="0.25">
      <c r="A53" s="76">
        <v>14</v>
      </c>
      <c r="B53" s="76" t="s">
        <v>967</v>
      </c>
      <c r="C53" s="76" t="s">
        <v>625</v>
      </c>
      <c r="D53" s="76">
        <v>54.7</v>
      </c>
      <c r="E53" s="146">
        <f t="shared" si="15"/>
        <v>2349.9819907198712</v>
      </c>
      <c r="F53" s="207">
        <f t="shared" si="16"/>
        <v>7.234305000000002E-2</v>
      </c>
      <c r="G53" s="152">
        <v>0.15748031496062992</v>
      </c>
      <c r="H53" s="207">
        <f t="shared" si="17"/>
        <v>0.10704900000000001</v>
      </c>
      <c r="I53" s="207">
        <v>0.15748031496062992</v>
      </c>
      <c r="J53" s="78">
        <v>585</v>
      </c>
      <c r="K53" s="78">
        <v>870</v>
      </c>
      <c r="L53" s="78">
        <v>0</v>
      </c>
      <c r="M53" s="78">
        <v>485</v>
      </c>
      <c r="N53" s="78">
        <v>685</v>
      </c>
      <c r="O53" s="78">
        <v>0</v>
      </c>
      <c r="P53" s="78">
        <v>110</v>
      </c>
      <c r="Q53" s="149">
        <v>62</v>
      </c>
      <c r="R53" s="75">
        <f t="shared" si="13"/>
        <v>4637.8172305503667</v>
      </c>
      <c r="S53" s="76" t="s">
        <v>967</v>
      </c>
      <c r="T53" s="83">
        <v>380</v>
      </c>
      <c r="U53" s="75">
        <f t="shared" si="14"/>
        <v>749.95066114071437</v>
      </c>
      <c r="V53" s="78">
        <v>14</v>
      </c>
      <c r="Z53" s="76" t="s">
        <v>968</v>
      </c>
    </row>
    <row r="54" spans="1:26" s="75" customFormat="1" x14ac:dyDescent="0.25">
      <c r="A54" s="76">
        <v>15</v>
      </c>
      <c r="B54" s="76" t="s">
        <v>968</v>
      </c>
      <c r="C54" s="76" t="s">
        <v>625</v>
      </c>
      <c r="D54" s="76">
        <v>58.3</v>
      </c>
      <c r="E54" s="146">
        <f t="shared" si="15"/>
        <v>2669.481963589953</v>
      </c>
      <c r="F54" s="207">
        <f t="shared" si="16"/>
        <v>6.1858550000000005E-2</v>
      </c>
      <c r="G54" s="152">
        <v>0.15748031496062992</v>
      </c>
      <c r="H54" s="207">
        <f t="shared" si="17"/>
        <v>8.605900000000001E-2</v>
      </c>
      <c r="I54" s="207">
        <v>0.15748031496062992</v>
      </c>
      <c r="J54" s="78">
        <v>675</v>
      </c>
      <c r="K54" s="78">
        <v>1040</v>
      </c>
      <c r="L54" s="78">
        <v>0</v>
      </c>
      <c r="M54" s="78">
        <v>565</v>
      </c>
      <c r="N54" s="78">
        <v>825</v>
      </c>
      <c r="O54" s="78">
        <v>0</v>
      </c>
      <c r="P54" s="78">
        <v>125</v>
      </c>
      <c r="Q54" s="149">
        <v>63</v>
      </c>
      <c r="R54" s="75">
        <f t="shared" si="13"/>
        <v>5268.3677986776256</v>
      </c>
      <c r="S54" s="76" t="s">
        <v>968</v>
      </c>
      <c r="T54" s="83">
        <v>506.7</v>
      </c>
      <c r="U54" s="75">
        <f t="shared" si="14"/>
        <v>999.99999999999989</v>
      </c>
      <c r="V54" s="78">
        <v>15</v>
      </c>
      <c r="Z54" s="76" t="s">
        <v>968</v>
      </c>
    </row>
    <row r="55" spans="1:26" x14ac:dyDescent="0.25">
      <c r="B55" s="54">
        <v>1</v>
      </c>
      <c r="C55" s="54">
        <v>2</v>
      </c>
      <c r="D55" s="54">
        <v>3</v>
      </c>
      <c r="E55" s="54">
        <v>4</v>
      </c>
      <c r="F55" s="54">
        <v>5</v>
      </c>
      <c r="G55" s="54">
        <v>6</v>
      </c>
      <c r="H55" s="54">
        <v>7</v>
      </c>
      <c r="I55" s="54">
        <v>8</v>
      </c>
      <c r="J55" s="54">
        <v>9</v>
      </c>
      <c r="K55" s="54">
        <v>10</v>
      </c>
      <c r="L55" s="54">
        <v>11</v>
      </c>
      <c r="M55" s="54">
        <v>12</v>
      </c>
      <c r="N55" s="54">
        <v>13</v>
      </c>
      <c r="O55" s="54">
        <v>14</v>
      </c>
      <c r="P55" s="54">
        <v>15</v>
      </c>
      <c r="Q55" s="54">
        <v>16</v>
      </c>
      <c r="R55" s="54">
        <v>17</v>
      </c>
      <c r="S55" s="54">
        <v>18</v>
      </c>
      <c r="T55" s="54">
        <v>19</v>
      </c>
      <c r="U55" s="54">
        <v>20</v>
      </c>
      <c r="V55" s="54">
        <v>21</v>
      </c>
      <c r="W55" s="54">
        <v>22</v>
      </c>
      <c r="X55" s="54">
        <v>23</v>
      </c>
      <c r="Y55" s="54">
        <v>24</v>
      </c>
      <c r="Z55" s="54">
        <v>25</v>
      </c>
    </row>
    <row r="57" spans="1:26" x14ac:dyDescent="0.25">
      <c r="A57" s="1636" t="s">
        <v>971</v>
      </c>
      <c r="B57" s="1636"/>
      <c r="C57" s="1636"/>
      <c r="D57" s="1636"/>
      <c r="E57" s="1636"/>
      <c r="F57" s="1636"/>
      <c r="H57" s="168" t="s">
        <v>972</v>
      </c>
    </row>
    <row r="58" spans="1:26" x14ac:dyDescent="0.25">
      <c r="A58" s="168"/>
      <c r="B58" s="168"/>
      <c r="C58" s="168"/>
      <c r="D58" s="168"/>
      <c r="E58" s="168"/>
      <c r="F58" s="168"/>
    </row>
    <row r="59" spans="1:26" x14ac:dyDescent="0.25">
      <c r="A59" s="1636" t="s">
        <v>973</v>
      </c>
      <c r="B59" s="1636"/>
      <c r="C59" s="1636"/>
      <c r="D59" s="1636" t="s">
        <v>974</v>
      </c>
      <c r="E59" s="1636"/>
      <c r="F59" s="1636"/>
      <c r="H59" s="162">
        <v>1</v>
      </c>
    </row>
    <row r="60" spans="1:26" x14ac:dyDescent="0.25">
      <c r="A60" s="214" t="s">
        <v>975</v>
      </c>
      <c r="B60" s="206" t="s">
        <v>976</v>
      </c>
      <c r="C60" s="215" t="s">
        <v>977</v>
      </c>
      <c r="D60" s="214" t="s">
        <v>975</v>
      </c>
      <c r="E60" s="206" t="s">
        <v>976</v>
      </c>
      <c r="F60" s="215" t="s">
        <v>977</v>
      </c>
      <c r="H60" s="162">
        <v>2</v>
      </c>
    </row>
    <row r="61" spans="1:26" x14ac:dyDescent="0.25">
      <c r="A61" s="216">
        <v>3</v>
      </c>
      <c r="B61" s="218">
        <v>10</v>
      </c>
      <c r="C61" s="217">
        <v>25</v>
      </c>
      <c r="D61" s="216">
        <v>3</v>
      </c>
      <c r="E61" s="218">
        <v>20</v>
      </c>
      <c r="F61" s="217">
        <v>20</v>
      </c>
      <c r="H61" s="162">
        <v>3</v>
      </c>
    </row>
    <row r="62" spans="1:26" x14ac:dyDescent="0.25">
      <c r="A62" s="210">
        <v>6</v>
      </c>
      <c r="B62" s="219">
        <v>20</v>
      </c>
      <c r="C62" s="208">
        <v>30</v>
      </c>
      <c r="D62" s="210">
        <v>6</v>
      </c>
      <c r="E62" s="219">
        <v>30</v>
      </c>
      <c r="F62" s="208">
        <v>30</v>
      </c>
      <c r="H62" s="162">
        <v>4</v>
      </c>
    </row>
    <row r="63" spans="1:26" x14ac:dyDescent="0.25">
      <c r="A63" s="210">
        <v>8</v>
      </c>
      <c r="B63" s="219">
        <v>40</v>
      </c>
      <c r="C63" s="208">
        <v>40</v>
      </c>
      <c r="D63" s="210">
        <v>8</v>
      </c>
      <c r="E63" s="219">
        <v>40</v>
      </c>
      <c r="F63" s="208">
        <v>40</v>
      </c>
      <c r="H63" s="162">
        <v>5</v>
      </c>
    </row>
    <row r="64" spans="1:26" x14ac:dyDescent="0.25">
      <c r="A64" s="210">
        <v>10</v>
      </c>
      <c r="B64" s="219">
        <v>65</v>
      </c>
      <c r="C64" s="208">
        <v>50</v>
      </c>
      <c r="D64" s="210">
        <v>10</v>
      </c>
      <c r="E64" s="219">
        <v>50</v>
      </c>
      <c r="F64" s="208">
        <v>50</v>
      </c>
      <c r="H64" s="162">
        <v>6</v>
      </c>
    </row>
    <row r="65" spans="1:26" x14ac:dyDescent="0.25">
      <c r="A65" s="210">
        <v>15</v>
      </c>
      <c r="B65" s="219"/>
      <c r="C65" s="208">
        <v>60</v>
      </c>
      <c r="D65" s="210">
        <v>15</v>
      </c>
      <c r="E65" s="219">
        <v>65</v>
      </c>
      <c r="F65" s="208">
        <v>65</v>
      </c>
      <c r="H65" s="158" t="s">
        <v>978</v>
      </c>
    </row>
    <row r="66" spans="1:26" x14ac:dyDescent="0.25">
      <c r="A66" s="210">
        <v>20</v>
      </c>
      <c r="B66" s="219"/>
      <c r="C66" s="208">
        <v>65</v>
      </c>
      <c r="D66" s="210">
        <v>20</v>
      </c>
      <c r="E66" s="219"/>
      <c r="F66" s="208"/>
    </row>
    <row r="67" spans="1:26" x14ac:dyDescent="0.25">
      <c r="A67" s="210">
        <v>25</v>
      </c>
      <c r="B67" s="219"/>
      <c r="C67" s="208">
        <v>100</v>
      </c>
      <c r="D67" s="210">
        <v>25</v>
      </c>
      <c r="E67" s="219"/>
      <c r="F67" s="208"/>
    </row>
    <row r="68" spans="1:26" x14ac:dyDescent="0.25">
      <c r="A68" s="210">
        <v>30</v>
      </c>
      <c r="B68" s="220"/>
      <c r="C68" s="211"/>
      <c r="D68" s="210">
        <v>30</v>
      </c>
      <c r="E68" s="219"/>
      <c r="F68" s="208"/>
    </row>
    <row r="69" spans="1:26" x14ac:dyDescent="0.25">
      <c r="A69" s="210">
        <v>40</v>
      </c>
      <c r="B69" s="220"/>
      <c r="C69" s="211"/>
      <c r="D69" s="210">
        <v>40</v>
      </c>
      <c r="E69" s="219"/>
      <c r="F69" s="208"/>
    </row>
    <row r="70" spans="1:26" x14ac:dyDescent="0.25">
      <c r="A70" s="210">
        <v>50</v>
      </c>
      <c r="B70" s="220"/>
      <c r="C70" s="211"/>
      <c r="D70" s="210">
        <v>50</v>
      </c>
      <c r="E70" s="219"/>
      <c r="F70" s="208"/>
    </row>
    <row r="71" spans="1:26" x14ac:dyDescent="0.25">
      <c r="A71" s="210">
        <v>60</v>
      </c>
      <c r="B71" s="220"/>
      <c r="C71" s="211"/>
      <c r="D71" s="210">
        <v>60</v>
      </c>
      <c r="E71" s="219"/>
      <c r="F71" s="208"/>
    </row>
    <row r="72" spans="1:26" x14ac:dyDescent="0.25">
      <c r="A72" s="212">
        <v>65</v>
      </c>
      <c r="B72" s="221"/>
      <c r="C72" s="213"/>
      <c r="D72" s="212">
        <v>65</v>
      </c>
      <c r="E72" s="222"/>
      <c r="F72" s="209"/>
    </row>
    <row r="78" spans="1:26" x14ac:dyDescent="0.25">
      <c r="B78" s="54">
        <v>1</v>
      </c>
      <c r="C78" s="54">
        <v>2</v>
      </c>
      <c r="D78" s="54">
        <v>3</v>
      </c>
      <c r="E78" s="54">
        <v>4</v>
      </c>
      <c r="F78" s="54">
        <v>5</v>
      </c>
      <c r="G78" s="54">
        <v>6</v>
      </c>
      <c r="H78" s="54">
        <v>7</v>
      </c>
      <c r="I78" s="54">
        <v>8</v>
      </c>
      <c r="J78" s="54">
        <v>9</v>
      </c>
      <c r="K78" s="54">
        <v>10</v>
      </c>
      <c r="L78" s="54">
        <v>11</v>
      </c>
      <c r="M78" s="54">
        <v>12</v>
      </c>
      <c r="N78" s="54">
        <v>13</v>
      </c>
      <c r="O78" s="54">
        <v>14</v>
      </c>
      <c r="P78" s="54">
        <v>15</v>
      </c>
      <c r="Q78" s="54">
        <v>16</v>
      </c>
      <c r="R78" s="54">
        <v>17</v>
      </c>
      <c r="S78" s="54">
        <v>18</v>
      </c>
      <c r="T78" s="54">
        <v>19</v>
      </c>
      <c r="U78" s="54">
        <v>20</v>
      </c>
      <c r="V78" s="54">
        <v>21</v>
      </c>
      <c r="W78" s="54">
        <v>22</v>
      </c>
      <c r="X78" s="54">
        <v>23</v>
      </c>
      <c r="Y78" s="54">
        <v>24</v>
      </c>
      <c r="Z78" s="54">
        <v>25</v>
      </c>
    </row>
    <row r="79" spans="1:26" x14ac:dyDescent="0.25">
      <c r="E79" s="54">
        <v>1</v>
      </c>
      <c r="F79" s="54">
        <v>2</v>
      </c>
      <c r="G79" s="54">
        <v>3</v>
      </c>
      <c r="H79" s="54">
        <v>4</v>
      </c>
      <c r="I79" s="54">
        <v>5</v>
      </c>
      <c r="J79" s="54">
        <v>6</v>
      </c>
      <c r="K79" s="54">
        <v>7</v>
      </c>
      <c r="L79" s="54">
        <v>8</v>
      </c>
      <c r="M79" s="54">
        <v>9</v>
      </c>
      <c r="N79" s="54">
        <v>10</v>
      </c>
      <c r="O79" s="54">
        <v>11</v>
      </c>
      <c r="P79" s="54">
        <v>12</v>
      </c>
      <c r="Q79" s="54">
        <v>13</v>
      </c>
      <c r="R79" s="54">
        <v>14</v>
      </c>
      <c r="S79" s="54">
        <v>15</v>
      </c>
    </row>
    <row r="80" spans="1:26" x14ac:dyDescent="0.25">
      <c r="A80" s="1638" t="s">
        <v>979</v>
      </c>
      <c r="B80" s="1638"/>
      <c r="C80" s="1638"/>
      <c r="D80" s="1638"/>
      <c r="E80" s="1638"/>
      <c r="F80" s="1638"/>
      <c r="G80" s="1638"/>
      <c r="H80" s="1638"/>
      <c r="I80" s="1638"/>
      <c r="J80" s="1638"/>
      <c r="K80" s="1638"/>
      <c r="L80" s="1638"/>
      <c r="M80" s="1638"/>
      <c r="N80" s="1638"/>
      <c r="O80" s="1638"/>
      <c r="P80" s="1638"/>
    </row>
    <row r="81" spans="1:26" s="75" customFormat="1" ht="51" customHeight="1" x14ac:dyDescent="0.25">
      <c r="A81" s="1632" t="s">
        <v>936</v>
      </c>
      <c r="B81" s="1632" t="s">
        <v>937</v>
      </c>
      <c r="C81" s="1632" t="s">
        <v>938</v>
      </c>
      <c r="D81" s="77" t="s">
        <v>980</v>
      </c>
      <c r="E81" s="77" t="s">
        <v>981</v>
      </c>
      <c r="F81" s="1632" t="s">
        <v>941</v>
      </c>
      <c r="G81" s="1632"/>
      <c r="H81" s="1632" t="s">
        <v>942</v>
      </c>
      <c r="I81" s="1632"/>
      <c r="J81" s="1632" t="s">
        <v>982</v>
      </c>
      <c r="K81" s="1632"/>
      <c r="L81" s="1632"/>
      <c r="M81" s="1632" t="s">
        <v>983</v>
      </c>
      <c r="N81" s="1632"/>
      <c r="O81" s="1632"/>
      <c r="P81" s="77" t="s">
        <v>945</v>
      </c>
      <c r="Q81" s="149"/>
      <c r="S81" s="75">
        <v>1</v>
      </c>
      <c r="T81" s="75">
        <v>2</v>
      </c>
      <c r="U81" s="75">
        <v>3</v>
      </c>
      <c r="V81" s="75">
        <v>4</v>
      </c>
      <c r="W81" s="75">
        <v>5</v>
      </c>
      <c r="X81" s="75">
        <v>6</v>
      </c>
    </row>
    <row r="82" spans="1:26" s="224" customFormat="1" ht="39.6" x14ac:dyDescent="0.25">
      <c r="A82" s="1632"/>
      <c r="B82" s="1632"/>
      <c r="C82" s="1632"/>
      <c r="D82" s="77" t="s">
        <v>798</v>
      </c>
      <c r="E82" s="77" t="s">
        <v>947</v>
      </c>
      <c r="F82" s="77" t="s">
        <v>784</v>
      </c>
      <c r="G82" s="77" t="s">
        <v>948</v>
      </c>
      <c r="H82" s="77" t="s">
        <v>784</v>
      </c>
      <c r="I82" s="77" t="s">
        <v>948</v>
      </c>
      <c r="J82" s="77" t="s">
        <v>984</v>
      </c>
      <c r="K82" s="77"/>
      <c r="L82" s="77"/>
      <c r="M82" s="77" t="s">
        <v>985</v>
      </c>
      <c r="N82" s="77"/>
      <c r="O82" s="77"/>
      <c r="P82" s="77"/>
      <c r="Q82" s="158"/>
      <c r="R82" s="75"/>
    </row>
    <row r="83" spans="1:26" s="75" customFormat="1" x14ac:dyDescent="0.25">
      <c r="A83" s="78">
        <v>1</v>
      </c>
      <c r="B83" s="78" t="s">
        <v>810</v>
      </c>
      <c r="C83" s="78" t="s">
        <v>625</v>
      </c>
      <c r="D83" s="76">
        <v>40.6</v>
      </c>
      <c r="E83" s="145">
        <f>40.6*15.7</f>
        <v>637.41999999999996</v>
      </c>
      <c r="F83" s="207">
        <v>1.0170603674540699</v>
      </c>
      <c r="G83" s="207">
        <v>0.19685039370078738</v>
      </c>
      <c r="H83" s="207">
        <v>1.67</v>
      </c>
      <c r="I83" s="207">
        <v>0.19685039370078738</v>
      </c>
      <c r="J83" s="78">
        <v>110</v>
      </c>
      <c r="K83" s="78">
        <v>0</v>
      </c>
      <c r="L83" s="78">
        <v>0</v>
      </c>
      <c r="M83" s="78">
        <v>86</v>
      </c>
      <c r="N83" s="78">
        <v>0</v>
      </c>
      <c r="O83" s="78">
        <v>0</v>
      </c>
      <c r="P83" s="76">
        <v>8</v>
      </c>
      <c r="Q83" s="149">
        <v>1</v>
      </c>
      <c r="S83" s="78" t="s">
        <v>810</v>
      </c>
      <c r="X83" s="76">
        <v>1.02</v>
      </c>
      <c r="Z83" s="78" t="s">
        <v>609</v>
      </c>
    </row>
    <row r="84" spans="1:26" s="75" customFormat="1" x14ac:dyDescent="0.25">
      <c r="A84" s="78">
        <v>2</v>
      </c>
      <c r="B84" s="78" t="s">
        <v>609</v>
      </c>
      <c r="C84" s="78" t="s">
        <v>625</v>
      </c>
      <c r="D84" s="76">
        <v>44.7</v>
      </c>
      <c r="E84" s="145">
        <f>44.7*17</f>
        <v>759.90000000000009</v>
      </c>
      <c r="F84" s="207">
        <v>0.65616797900262469</v>
      </c>
      <c r="G84" s="207">
        <v>0.18700787401574803</v>
      </c>
      <c r="H84" s="207">
        <v>1.05</v>
      </c>
      <c r="I84" s="207">
        <v>0.18700787401574803</v>
      </c>
      <c r="J84" s="78">
        <v>145</v>
      </c>
      <c r="K84" s="78">
        <v>0</v>
      </c>
      <c r="L84" s="78">
        <v>0</v>
      </c>
      <c r="M84" s="78">
        <v>110</v>
      </c>
      <c r="N84" s="78">
        <v>0</v>
      </c>
      <c r="O84" s="78">
        <v>0</v>
      </c>
      <c r="P84" s="76">
        <v>12</v>
      </c>
      <c r="Q84" s="149">
        <v>2</v>
      </c>
      <c r="R84" s="325" t="s">
        <v>986</v>
      </c>
      <c r="S84" s="78" t="s">
        <v>609</v>
      </c>
      <c r="X84" s="76">
        <v>1.02</v>
      </c>
      <c r="Z84" s="78" t="s">
        <v>987</v>
      </c>
    </row>
    <row r="85" spans="1:26" s="75" customFormat="1" x14ac:dyDescent="0.25">
      <c r="A85" s="78">
        <v>3</v>
      </c>
      <c r="B85" s="78" t="s">
        <v>987</v>
      </c>
      <c r="C85" s="78" t="s">
        <v>625</v>
      </c>
      <c r="D85" s="76">
        <v>47</v>
      </c>
      <c r="E85" s="145">
        <f>47*17.8</f>
        <v>836.6</v>
      </c>
      <c r="F85" s="207">
        <v>0.39370078740157477</v>
      </c>
      <c r="G85" s="207">
        <v>0.18044619422572178</v>
      </c>
      <c r="H85" s="207">
        <v>0.65600000000000003</v>
      </c>
      <c r="I85" s="207">
        <v>0.18044619422572178</v>
      </c>
      <c r="J85" s="76">
        <v>165</v>
      </c>
      <c r="K85" s="76">
        <v>0</v>
      </c>
      <c r="L85" s="76">
        <v>0</v>
      </c>
      <c r="M85" s="76">
        <v>130</v>
      </c>
      <c r="N85" s="76">
        <v>0</v>
      </c>
      <c r="O85" s="76">
        <v>0</v>
      </c>
      <c r="P85" s="76">
        <v>20</v>
      </c>
      <c r="Q85" s="149">
        <v>3</v>
      </c>
      <c r="S85" s="78" t="s">
        <v>987</v>
      </c>
      <c r="X85" s="76">
        <v>1.1200000000000001</v>
      </c>
      <c r="Z85" s="78" t="s">
        <v>814</v>
      </c>
    </row>
    <row r="86" spans="1:26" s="75" customFormat="1" x14ac:dyDescent="0.25">
      <c r="A86" s="78">
        <v>4</v>
      </c>
      <c r="B86" s="78" t="s">
        <v>814</v>
      </c>
      <c r="C86" s="78" t="s">
        <v>625</v>
      </c>
      <c r="D86" s="76">
        <v>61</v>
      </c>
      <c r="E86" s="145">
        <f>61*21.7</f>
        <v>1323.7</v>
      </c>
      <c r="F86" s="152">
        <v>0.32808398950131235</v>
      </c>
      <c r="G86" s="152">
        <v>0.17716535433070865</v>
      </c>
      <c r="H86" s="207">
        <v>0.52500000000000002</v>
      </c>
      <c r="I86" s="207">
        <v>0.17716535433070865</v>
      </c>
      <c r="J86" s="76">
        <v>220</v>
      </c>
      <c r="K86" s="76">
        <v>0</v>
      </c>
      <c r="L86" s="76">
        <v>0</v>
      </c>
      <c r="M86" s="76">
        <v>170</v>
      </c>
      <c r="N86" s="76">
        <v>0</v>
      </c>
      <c r="O86" s="76">
        <v>0</v>
      </c>
      <c r="P86" s="76">
        <v>20</v>
      </c>
      <c r="Q86" s="149">
        <v>4</v>
      </c>
      <c r="S86" s="78" t="s">
        <v>814</v>
      </c>
      <c r="X86" s="76">
        <v>1.27</v>
      </c>
      <c r="Z86" s="78" t="s">
        <v>814</v>
      </c>
    </row>
    <row r="88" spans="1:26" x14ac:dyDescent="0.25">
      <c r="A88" s="1638" t="s">
        <v>988</v>
      </c>
      <c r="B88" s="1638"/>
      <c r="C88" s="1638"/>
      <c r="D88" s="1638"/>
      <c r="E88" s="1638"/>
      <c r="F88" s="1638"/>
      <c r="G88" s="1638"/>
      <c r="H88" s="1638"/>
      <c r="I88" s="1638"/>
      <c r="J88" s="1638"/>
      <c r="K88" s="1638"/>
      <c r="L88" s="1638"/>
      <c r="M88" s="1638"/>
      <c r="N88" s="1638"/>
      <c r="O88" s="1638"/>
      <c r="P88" s="1638"/>
    </row>
    <row r="89" spans="1:26" s="75" customFormat="1" ht="51" customHeight="1" x14ac:dyDescent="0.25">
      <c r="A89" s="1632" t="s">
        <v>936</v>
      </c>
      <c r="B89" s="1632" t="s">
        <v>937</v>
      </c>
      <c r="C89" s="1632" t="s">
        <v>938</v>
      </c>
      <c r="D89" s="77" t="s">
        <v>980</v>
      </c>
      <c r="E89" s="77" t="s">
        <v>981</v>
      </c>
      <c r="F89" s="1632" t="s">
        <v>941</v>
      </c>
      <c r="G89" s="1632"/>
      <c r="H89" s="1632" t="s">
        <v>942</v>
      </c>
      <c r="I89" s="1632"/>
      <c r="J89" s="1632" t="s">
        <v>982</v>
      </c>
      <c r="K89" s="1632"/>
      <c r="L89" s="1632"/>
      <c r="M89" s="1632" t="s">
        <v>983</v>
      </c>
      <c r="N89" s="1632"/>
      <c r="O89" s="1632"/>
      <c r="P89" s="77" t="s">
        <v>945</v>
      </c>
      <c r="Q89" s="149"/>
    </row>
    <row r="90" spans="1:26" s="224" customFormat="1" ht="39.6" x14ac:dyDescent="0.25">
      <c r="A90" s="1632"/>
      <c r="B90" s="1632"/>
      <c r="C90" s="1632"/>
      <c r="D90" s="77" t="s">
        <v>798</v>
      </c>
      <c r="E90" s="77" t="s">
        <v>947</v>
      </c>
      <c r="F90" s="77" t="s">
        <v>784</v>
      </c>
      <c r="G90" s="77" t="s">
        <v>948</v>
      </c>
      <c r="H90" s="77" t="s">
        <v>784</v>
      </c>
      <c r="I90" s="77" t="s">
        <v>948</v>
      </c>
      <c r="J90" s="77" t="s">
        <v>984</v>
      </c>
      <c r="K90" s="77"/>
      <c r="L90" s="77"/>
      <c r="M90" s="77" t="s">
        <v>985</v>
      </c>
      <c r="N90" s="77"/>
      <c r="O90" s="77"/>
      <c r="P90" s="77"/>
      <c r="Q90" s="158"/>
    </row>
    <row r="91" spans="1:26" s="75" customFormat="1" x14ac:dyDescent="0.25">
      <c r="A91" s="78">
        <v>1</v>
      </c>
      <c r="B91" s="78" t="s">
        <v>810</v>
      </c>
      <c r="C91" s="78" t="s">
        <v>625</v>
      </c>
      <c r="D91" s="76">
        <v>40.6</v>
      </c>
      <c r="E91" s="145">
        <f>40.6*15.7</f>
        <v>637.41999999999996</v>
      </c>
      <c r="F91" s="207">
        <v>1.0170603674540681</v>
      </c>
      <c r="G91" s="207">
        <v>0.19685039370078738</v>
      </c>
      <c r="H91" s="207">
        <v>1.67</v>
      </c>
      <c r="I91" s="207">
        <v>0.19685039370078738</v>
      </c>
      <c r="J91" s="78">
        <v>96</v>
      </c>
      <c r="K91" s="78">
        <v>0</v>
      </c>
      <c r="L91" s="78">
        <v>0</v>
      </c>
      <c r="M91" s="78">
        <v>75</v>
      </c>
      <c r="N91" s="78">
        <v>0</v>
      </c>
      <c r="O91" s="78">
        <v>0</v>
      </c>
      <c r="P91" s="76">
        <v>8</v>
      </c>
      <c r="Q91" s="149">
        <v>1</v>
      </c>
    </row>
    <row r="92" spans="1:26" s="75" customFormat="1" x14ac:dyDescent="0.25">
      <c r="A92" s="78">
        <v>2</v>
      </c>
      <c r="B92" s="78" t="s">
        <v>609</v>
      </c>
      <c r="C92" s="78" t="s">
        <v>625</v>
      </c>
      <c r="D92" s="76">
        <v>44.7</v>
      </c>
      <c r="E92" s="145">
        <f>44.7*17</f>
        <v>759.90000000000009</v>
      </c>
      <c r="F92" s="207">
        <v>0.65616797900262469</v>
      </c>
      <c r="G92" s="207">
        <v>0.18700787401574803</v>
      </c>
      <c r="H92" s="207">
        <v>1.05</v>
      </c>
      <c r="I92" s="207">
        <v>0.18700787401574803</v>
      </c>
      <c r="J92" s="78">
        <v>125</v>
      </c>
      <c r="K92" s="78">
        <v>0</v>
      </c>
      <c r="L92" s="78">
        <v>0</v>
      </c>
      <c r="M92" s="78">
        <v>97</v>
      </c>
      <c r="N92" s="78">
        <v>0</v>
      </c>
      <c r="O92" s="78">
        <v>0</v>
      </c>
      <c r="P92" s="76">
        <v>12</v>
      </c>
      <c r="Q92" s="149">
        <v>2</v>
      </c>
    </row>
    <row r="93" spans="1:26" s="75" customFormat="1" x14ac:dyDescent="0.25">
      <c r="A93" s="78">
        <v>3</v>
      </c>
      <c r="B93" s="78" t="s">
        <v>987</v>
      </c>
      <c r="C93" s="78" t="s">
        <v>625</v>
      </c>
      <c r="D93" s="76">
        <v>47</v>
      </c>
      <c r="E93" s="145">
        <f>47*17.8</f>
        <v>836.6</v>
      </c>
      <c r="F93" s="207">
        <v>0.39370078740157477</v>
      </c>
      <c r="G93" s="207">
        <v>0.18044619422572178</v>
      </c>
      <c r="H93" s="207">
        <v>0.65600000000000003</v>
      </c>
      <c r="I93" s="207">
        <v>0.18044619422572178</v>
      </c>
      <c r="J93" s="76">
        <v>145</v>
      </c>
      <c r="K93" s="76">
        <v>0</v>
      </c>
      <c r="L93" s="76">
        <v>0</v>
      </c>
      <c r="M93" s="76">
        <v>110</v>
      </c>
      <c r="N93" s="76">
        <v>0</v>
      </c>
      <c r="O93" s="76">
        <v>0</v>
      </c>
      <c r="P93" s="76">
        <v>20</v>
      </c>
      <c r="Q93" s="149">
        <v>3</v>
      </c>
      <c r="R93" s="1634" t="s">
        <v>989</v>
      </c>
      <c r="S93" s="1634"/>
    </row>
    <row r="94" spans="1:26" s="75" customFormat="1" x14ac:dyDescent="0.25">
      <c r="A94" s="78">
        <v>4</v>
      </c>
      <c r="B94" s="78" t="s">
        <v>814</v>
      </c>
      <c r="C94" s="78" t="s">
        <v>625</v>
      </c>
      <c r="D94" s="76">
        <v>61</v>
      </c>
      <c r="E94" s="145">
        <f>61*21.7</f>
        <v>1323.7</v>
      </c>
      <c r="F94" s="152">
        <v>0.32808398950131235</v>
      </c>
      <c r="G94" s="152">
        <v>0.17716535433070865</v>
      </c>
      <c r="H94" s="207">
        <v>0.52500000000000002</v>
      </c>
      <c r="I94" s="207">
        <v>0.17716535433070865</v>
      </c>
      <c r="J94" s="76">
        <v>185</v>
      </c>
      <c r="K94" s="76">
        <v>0</v>
      </c>
      <c r="L94" s="76">
        <v>0</v>
      </c>
      <c r="M94" s="76">
        <v>145</v>
      </c>
      <c r="N94" s="76">
        <v>0</v>
      </c>
      <c r="O94" s="76">
        <v>0</v>
      </c>
      <c r="P94" s="76">
        <v>20</v>
      </c>
      <c r="Q94" s="149">
        <v>4</v>
      </c>
      <c r="R94" s="1634" t="s">
        <v>989</v>
      </c>
      <c r="S94" s="1634"/>
    </row>
    <row r="96" spans="1:26" x14ac:dyDescent="0.25">
      <c r="A96" s="1638" t="s">
        <v>990</v>
      </c>
      <c r="B96" s="1638"/>
      <c r="C96" s="1638"/>
      <c r="D96" s="1638"/>
      <c r="E96" s="1638"/>
      <c r="F96" s="1638"/>
      <c r="G96" s="1638"/>
      <c r="H96" s="1638"/>
      <c r="I96" s="1638"/>
      <c r="J96" s="1638"/>
      <c r="K96" s="1638"/>
      <c r="L96" s="1638"/>
      <c r="M96" s="1638"/>
      <c r="N96" s="1638"/>
      <c r="O96" s="1638"/>
      <c r="P96" s="1638"/>
    </row>
    <row r="97" spans="1:19" s="75" customFormat="1" ht="51" customHeight="1" x14ac:dyDescent="0.25">
      <c r="A97" s="1632" t="s">
        <v>936</v>
      </c>
      <c r="B97" s="1632" t="s">
        <v>937</v>
      </c>
      <c r="C97" s="1632" t="s">
        <v>938</v>
      </c>
      <c r="D97" s="77" t="s">
        <v>980</v>
      </c>
      <c r="E97" s="77" t="s">
        <v>981</v>
      </c>
      <c r="F97" s="1632" t="s">
        <v>941</v>
      </c>
      <c r="G97" s="1632"/>
      <c r="H97" s="1632" t="s">
        <v>942</v>
      </c>
      <c r="I97" s="1632"/>
      <c r="J97" s="1632" t="s">
        <v>982</v>
      </c>
      <c r="K97" s="1632"/>
      <c r="L97" s="1632"/>
      <c r="M97" s="1632" t="s">
        <v>983</v>
      </c>
      <c r="N97" s="1632"/>
      <c r="O97" s="1632"/>
      <c r="P97" s="77" t="s">
        <v>945</v>
      </c>
      <c r="Q97" s="149"/>
    </row>
    <row r="98" spans="1:19" s="224" customFormat="1" ht="39.6" x14ac:dyDescent="0.25">
      <c r="A98" s="1632"/>
      <c r="B98" s="1632"/>
      <c r="C98" s="1632"/>
      <c r="D98" s="77" t="s">
        <v>798</v>
      </c>
      <c r="E98" s="77" t="s">
        <v>947</v>
      </c>
      <c r="F98" s="77" t="s">
        <v>784</v>
      </c>
      <c r="G98" s="77" t="s">
        <v>948</v>
      </c>
      <c r="H98" s="77" t="s">
        <v>784</v>
      </c>
      <c r="I98" s="77" t="s">
        <v>948</v>
      </c>
      <c r="J98" s="77" t="s">
        <v>984</v>
      </c>
      <c r="K98" s="77"/>
      <c r="L98" s="77"/>
      <c r="M98" s="77" t="s">
        <v>985</v>
      </c>
      <c r="N98" s="77"/>
      <c r="O98" s="77"/>
      <c r="P98" s="77"/>
      <c r="Q98" s="158"/>
    </row>
    <row r="99" spans="1:19" s="75" customFormat="1" x14ac:dyDescent="0.25">
      <c r="A99" s="78">
        <v>1</v>
      </c>
      <c r="B99" s="78" t="s">
        <v>810</v>
      </c>
      <c r="C99" s="78" t="s">
        <v>625</v>
      </c>
      <c r="D99" s="76">
        <v>40.6</v>
      </c>
      <c r="E99" s="145">
        <f>40.6*15.7</f>
        <v>637.41999999999996</v>
      </c>
      <c r="F99" s="207">
        <v>1.0170603674540681</v>
      </c>
      <c r="G99" s="207">
        <v>0.19685039370078738</v>
      </c>
      <c r="H99" s="207">
        <v>1.67</v>
      </c>
      <c r="I99" s="207">
        <v>0.19685039370078738</v>
      </c>
      <c r="J99" s="78">
        <v>83</v>
      </c>
      <c r="K99" s="78">
        <v>0</v>
      </c>
      <c r="L99" s="78">
        <v>0</v>
      </c>
      <c r="M99" s="78">
        <v>65</v>
      </c>
      <c r="N99" s="78">
        <v>0</v>
      </c>
      <c r="O99" s="78">
        <v>0</v>
      </c>
      <c r="P99" s="76">
        <v>8</v>
      </c>
      <c r="Q99" s="149">
        <v>1</v>
      </c>
    </row>
    <row r="100" spans="1:19" s="75" customFormat="1" x14ac:dyDescent="0.25">
      <c r="A100" s="78">
        <v>2</v>
      </c>
      <c r="B100" s="78" t="s">
        <v>609</v>
      </c>
      <c r="C100" s="78" t="s">
        <v>625</v>
      </c>
      <c r="D100" s="76">
        <v>44.7</v>
      </c>
      <c r="E100" s="145">
        <f>44.7*17</f>
        <v>759.90000000000009</v>
      </c>
      <c r="F100" s="207">
        <v>0.65616797900262469</v>
      </c>
      <c r="G100" s="207">
        <v>0.18700787401574803</v>
      </c>
      <c r="H100" s="207">
        <v>1.05</v>
      </c>
      <c r="I100" s="207">
        <v>0.18700787401574803</v>
      </c>
      <c r="J100" s="78">
        <v>105</v>
      </c>
      <c r="K100" s="78">
        <v>0</v>
      </c>
      <c r="L100" s="78">
        <v>0</v>
      </c>
      <c r="M100" s="78">
        <v>83</v>
      </c>
      <c r="N100" s="78">
        <v>0</v>
      </c>
      <c r="O100" s="78">
        <v>0</v>
      </c>
      <c r="P100" s="76">
        <v>12</v>
      </c>
      <c r="Q100" s="149">
        <v>2</v>
      </c>
    </row>
    <row r="101" spans="1:19" s="75" customFormat="1" x14ac:dyDescent="0.25">
      <c r="A101" s="78">
        <v>3</v>
      </c>
      <c r="B101" s="78" t="s">
        <v>987</v>
      </c>
      <c r="C101" s="78" t="s">
        <v>625</v>
      </c>
      <c r="D101" s="76">
        <v>47</v>
      </c>
      <c r="E101" s="145">
        <f>47*17.8</f>
        <v>836.6</v>
      </c>
      <c r="F101" s="207">
        <v>0.39370078740157477</v>
      </c>
      <c r="G101" s="207">
        <v>0.18044619422572178</v>
      </c>
      <c r="H101" s="207">
        <v>0.65600000000000003</v>
      </c>
      <c r="I101" s="207">
        <v>0.18044619422572178</v>
      </c>
      <c r="J101" s="76">
        <v>120</v>
      </c>
      <c r="K101" s="76">
        <v>0</v>
      </c>
      <c r="L101" s="76">
        <v>0</v>
      </c>
      <c r="M101" s="76">
        <v>94</v>
      </c>
      <c r="N101" s="76">
        <v>0</v>
      </c>
      <c r="O101" s="76">
        <v>0</v>
      </c>
      <c r="P101" s="76">
        <v>20</v>
      </c>
      <c r="Q101" s="149">
        <v>3</v>
      </c>
    </row>
    <row r="102" spans="1:19" s="75" customFormat="1" x14ac:dyDescent="0.25">
      <c r="A102" s="78">
        <v>4</v>
      </c>
      <c r="B102" s="78" t="s">
        <v>814</v>
      </c>
      <c r="C102" s="78" t="s">
        <v>625</v>
      </c>
      <c r="D102" s="76">
        <v>61</v>
      </c>
      <c r="E102" s="145">
        <f>61*21.7</f>
        <v>1323.7</v>
      </c>
      <c r="F102" s="152">
        <v>0.32808398950131235</v>
      </c>
      <c r="G102" s="152">
        <v>0.17716535433070865</v>
      </c>
      <c r="H102" s="207">
        <v>0.52500000000000002</v>
      </c>
      <c r="I102" s="207">
        <v>0.17716535433070865</v>
      </c>
      <c r="J102" s="76">
        <v>155</v>
      </c>
      <c r="K102" s="76">
        <v>0</v>
      </c>
      <c r="L102" s="76">
        <v>0</v>
      </c>
      <c r="M102" s="76">
        <v>120</v>
      </c>
      <c r="N102" s="76">
        <v>0</v>
      </c>
      <c r="O102" s="76">
        <v>0</v>
      </c>
      <c r="P102" s="76">
        <v>20</v>
      </c>
      <c r="Q102" s="149">
        <v>4</v>
      </c>
    </row>
    <row r="103" spans="1:19" x14ac:dyDescent="0.25">
      <c r="R103" s="1634" t="s">
        <v>991</v>
      </c>
      <c r="S103" s="1634"/>
    </row>
    <row r="105" spans="1:19" ht="21.75" customHeight="1" x14ac:dyDescent="0.25">
      <c r="A105" s="1636" t="s">
        <v>992</v>
      </c>
      <c r="B105" s="1636"/>
      <c r="C105" s="1636"/>
      <c r="D105" s="1636"/>
      <c r="E105"/>
      <c r="F105"/>
    </row>
    <row r="106" spans="1:19" x14ac:dyDescent="0.25">
      <c r="A106" s="1635">
        <v>90</v>
      </c>
      <c r="B106" s="1635"/>
      <c r="C106" s="1635"/>
      <c r="D106" s="1635"/>
    </row>
    <row r="107" spans="1:19" x14ac:dyDescent="0.25">
      <c r="A107" s="226"/>
      <c r="B107" s="266">
        <v>40</v>
      </c>
      <c r="C107" s="266">
        <v>20</v>
      </c>
      <c r="D107" s="266">
        <v>30</v>
      </c>
    </row>
    <row r="108" spans="1:19" s="143" customFormat="1" ht="27" customHeight="1" x14ac:dyDescent="0.25">
      <c r="A108" s="227" t="s">
        <v>689</v>
      </c>
      <c r="B108" s="227" t="s">
        <v>690</v>
      </c>
      <c r="C108" s="227" t="s">
        <v>690</v>
      </c>
      <c r="D108" s="227" t="s">
        <v>690</v>
      </c>
      <c r="E108" s="76" t="s">
        <v>605</v>
      </c>
      <c r="F108" s="76" t="s">
        <v>601</v>
      </c>
      <c r="G108" s="76" t="s">
        <v>611</v>
      </c>
      <c r="H108" s="158"/>
      <c r="I108" s="54"/>
    </row>
    <row r="109" spans="1:19" x14ac:dyDescent="0.25">
      <c r="A109" s="146" t="s">
        <v>691</v>
      </c>
      <c r="B109" s="191">
        <v>1.26</v>
      </c>
      <c r="C109" s="191">
        <f>+B109/$B$111</f>
        <v>1.0677966101694916</v>
      </c>
      <c r="D109" s="191">
        <f>+B109/$B$113</f>
        <v>1.1454545454545453</v>
      </c>
      <c r="E109" s="78" t="s">
        <v>802</v>
      </c>
      <c r="F109" s="258">
        <v>10.49</v>
      </c>
      <c r="G109" s="258">
        <v>6.561679790026246</v>
      </c>
      <c r="K109" s="228"/>
      <c r="L109" s="228"/>
    </row>
    <row r="110" spans="1:19" x14ac:dyDescent="0.25">
      <c r="A110" s="191" t="s">
        <v>693</v>
      </c>
      <c r="B110" s="191">
        <v>1.22</v>
      </c>
      <c r="C110" s="191">
        <f>+B110/$B$111</f>
        <v>1.0338983050847459</v>
      </c>
      <c r="D110" s="191">
        <f t="shared" ref="D110:D127" si="18">+B110/$B$113</f>
        <v>1.1090909090909089</v>
      </c>
      <c r="E110" s="78" t="s">
        <v>804</v>
      </c>
      <c r="F110" s="258">
        <v>6.56</v>
      </c>
      <c r="G110" s="258">
        <v>3.9370078740157477</v>
      </c>
      <c r="K110" s="228"/>
      <c r="L110" s="228"/>
    </row>
    <row r="111" spans="1:19" x14ac:dyDescent="0.25">
      <c r="A111" s="191" t="s">
        <v>694</v>
      </c>
      <c r="B111" s="191">
        <v>1.18</v>
      </c>
      <c r="C111" s="191">
        <f t="shared" ref="C111:C127" si="19">+B111/$B$111</f>
        <v>1</v>
      </c>
      <c r="D111" s="191">
        <f t="shared" si="18"/>
        <v>1.0727272727272725</v>
      </c>
      <c r="E111" s="78" t="s">
        <v>806</v>
      </c>
      <c r="F111" s="258">
        <v>4.2699999999999996</v>
      </c>
      <c r="G111" s="258">
        <v>2.5590551181102361</v>
      </c>
      <c r="K111" s="228"/>
      <c r="L111" s="228"/>
    </row>
    <row r="112" spans="1:19" x14ac:dyDescent="0.25">
      <c r="A112" s="191" t="s">
        <v>696</v>
      </c>
      <c r="B112" s="191">
        <v>1.1399999999999999</v>
      </c>
      <c r="C112" s="191">
        <f t="shared" si="19"/>
        <v>0.96610169491525422</v>
      </c>
      <c r="D112" s="191">
        <f t="shared" si="18"/>
        <v>1.0363636363636362</v>
      </c>
      <c r="E112" s="78" t="s">
        <v>808</v>
      </c>
      <c r="F112" s="258">
        <v>2.66</v>
      </c>
      <c r="G112" s="258">
        <v>1.6076115485564304</v>
      </c>
      <c r="I112" s="228"/>
      <c r="K112" s="228"/>
      <c r="L112" s="228"/>
    </row>
    <row r="113" spans="1:12" x14ac:dyDescent="0.25">
      <c r="A113" s="191" t="s">
        <v>597</v>
      </c>
      <c r="B113" s="191">
        <v>1.1000000000000001</v>
      </c>
      <c r="C113" s="191">
        <f t="shared" si="19"/>
        <v>0.93220338983050854</v>
      </c>
      <c r="D113" s="191">
        <f t="shared" si="18"/>
        <v>1</v>
      </c>
      <c r="E113" s="78" t="s">
        <v>810</v>
      </c>
      <c r="F113" s="258">
        <v>1.67</v>
      </c>
      <c r="G113" s="258">
        <v>1.0170603674540681</v>
      </c>
      <c r="I113" s="228"/>
      <c r="K113" s="228"/>
      <c r="L113" s="228"/>
    </row>
    <row r="114" spans="1:12" x14ac:dyDescent="0.25">
      <c r="A114" s="191" t="s">
        <v>701</v>
      </c>
      <c r="B114" s="191">
        <v>1.05</v>
      </c>
      <c r="C114" s="191">
        <f t="shared" si="19"/>
        <v>0.88983050847457634</v>
      </c>
      <c r="D114" s="191">
        <f t="shared" si="18"/>
        <v>0.95454545454545447</v>
      </c>
      <c r="E114" s="78" t="s">
        <v>609</v>
      </c>
      <c r="F114" s="258">
        <v>1.05</v>
      </c>
      <c r="G114" s="258">
        <v>0.65616797900262469</v>
      </c>
      <c r="I114" s="228"/>
      <c r="K114" s="228"/>
      <c r="L114" s="228"/>
    </row>
    <row r="115" spans="1:12" x14ac:dyDescent="0.25">
      <c r="A115" s="191" t="s">
        <v>705</v>
      </c>
      <c r="B115" s="191">
        <v>1</v>
      </c>
      <c r="C115" s="191">
        <f t="shared" si="19"/>
        <v>0.84745762711864414</v>
      </c>
      <c r="D115" s="191">
        <f t="shared" si="18"/>
        <v>0.90909090909090906</v>
      </c>
      <c r="E115" s="78" t="s">
        <v>598</v>
      </c>
      <c r="F115" s="258">
        <v>0.65600000000000003</v>
      </c>
      <c r="G115" s="258">
        <v>0.39370078740157477</v>
      </c>
      <c r="I115" s="228"/>
      <c r="K115" s="228"/>
      <c r="L115" s="228"/>
    </row>
    <row r="116" spans="1:12" x14ac:dyDescent="0.25">
      <c r="A116" s="191" t="s">
        <v>707</v>
      </c>
      <c r="B116" s="191">
        <v>0.95</v>
      </c>
      <c r="C116" s="191">
        <f t="shared" si="19"/>
        <v>0.80508474576271183</v>
      </c>
      <c r="D116" s="191">
        <f t="shared" si="18"/>
        <v>0.86363636363636354</v>
      </c>
      <c r="E116" s="78" t="s">
        <v>814</v>
      </c>
      <c r="F116" s="258">
        <v>0.52500000000000002</v>
      </c>
      <c r="G116" s="258">
        <v>0.32808398950131235</v>
      </c>
      <c r="I116" s="228"/>
      <c r="K116" s="228"/>
      <c r="L116" s="228"/>
    </row>
    <row r="117" spans="1:12" x14ac:dyDescent="0.25">
      <c r="A117" s="191" t="s">
        <v>710</v>
      </c>
      <c r="B117" s="191">
        <v>0.89</v>
      </c>
      <c r="C117" s="191">
        <f t="shared" si="19"/>
        <v>0.75423728813559332</v>
      </c>
      <c r="D117" s="191">
        <f t="shared" si="18"/>
        <v>0.80909090909090908</v>
      </c>
      <c r="E117" s="78" t="s">
        <v>816</v>
      </c>
      <c r="F117" s="258">
        <v>0.42699999999999999</v>
      </c>
      <c r="G117" s="258">
        <v>0.25918635170603671</v>
      </c>
      <c r="I117" s="228"/>
      <c r="K117" s="228"/>
      <c r="L117" s="228"/>
    </row>
    <row r="118" spans="1:12" x14ac:dyDescent="0.25">
      <c r="A118" s="191" t="s">
        <v>711</v>
      </c>
      <c r="B118" s="191">
        <v>0.84</v>
      </c>
      <c r="C118" s="191">
        <f t="shared" si="19"/>
        <v>0.71186440677966101</v>
      </c>
      <c r="D118" s="191">
        <f t="shared" si="18"/>
        <v>0.76363636363636356</v>
      </c>
      <c r="E118" s="78" t="s">
        <v>818</v>
      </c>
      <c r="F118" s="258">
        <v>0.32800000000000001</v>
      </c>
      <c r="G118" s="258">
        <v>0.20669291338582677</v>
      </c>
      <c r="I118" s="228"/>
      <c r="K118" s="228"/>
      <c r="L118" s="228"/>
    </row>
    <row r="119" spans="1:12" x14ac:dyDescent="0.25">
      <c r="A119" s="191" t="s">
        <v>714</v>
      </c>
      <c r="B119" s="191">
        <v>0.77</v>
      </c>
      <c r="C119" s="191">
        <f t="shared" si="19"/>
        <v>0.65254237288135597</v>
      </c>
      <c r="D119" s="191">
        <f t="shared" si="18"/>
        <v>0.7</v>
      </c>
      <c r="E119" s="76" t="s">
        <v>964</v>
      </c>
      <c r="F119" s="258">
        <v>0.28199999999999997</v>
      </c>
      <c r="G119" s="146">
        <v>0.17716535433070865</v>
      </c>
      <c r="I119" s="228"/>
      <c r="K119" s="228"/>
      <c r="L119" s="228"/>
    </row>
    <row r="120" spans="1:12" x14ac:dyDescent="0.25">
      <c r="A120" s="191" t="s">
        <v>717</v>
      </c>
      <c r="B120" s="191">
        <v>0.71</v>
      </c>
      <c r="C120" s="191">
        <f t="shared" si="19"/>
        <v>0.60169491525423724</v>
      </c>
      <c r="D120" s="191">
        <f t="shared" si="18"/>
        <v>0.64545454545454539</v>
      </c>
      <c r="E120" s="76" t="s">
        <v>965</v>
      </c>
      <c r="F120" s="258">
        <v>0.20599999999999999</v>
      </c>
      <c r="G120" s="146">
        <v>0.12795275590551181</v>
      </c>
      <c r="I120" s="228"/>
      <c r="K120" s="228"/>
      <c r="L120" s="228"/>
    </row>
    <row r="121" spans="1:12" x14ac:dyDescent="0.25">
      <c r="A121" s="191" t="s">
        <v>719</v>
      </c>
      <c r="B121" s="191">
        <v>0.63</v>
      </c>
      <c r="C121" s="191">
        <f t="shared" si="19"/>
        <v>0.53389830508474578</v>
      </c>
      <c r="D121" s="191">
        <f t="shared" si="18"/>
        <v>0.57272727272727264</v>
      </c>
      <c r="E121" s="76" t="s">
        <v>966</v>
      </c>
      <c r="F121" s="258">
        <v>0.14799999999999999</v>
      </c>
      <c r="G121" s="146">
        <v>9.514435695538058E-2</v>
      </c>
      <c r="I121" s="228"/>
      <c r="K121" s="228"/>
      <c r="L121" s="228"/>
    </row>
    <row r="122" spans="1:12" x14ac:dyDescent="0.25">
      <c r="A122" s="191" t="s">
        <v>721</v>
      </c>
      <c r="B122" s="191">
        <v>0.55000000000000004</v>
      </c>
      <c r="C122" s="191">
        <f t="shared" si="19"/>
        <v>0.46610169491525427</v>
      </c>
      <c r="D122" s="191">
        <f t="shared" si="18"/>
        <v>0.5</v>
      </c>
      <c r="E122" s="76" t="s">
        <v>967</v>
      </c>
      <c r="F122" s="258">
        <v>0.10199999999999999</v>
      </c>
      <c r="G122" s="146">
        <v>6.9000000000000006E-2</v>
      </c>
      <c r="I122" s="228"/>
      <c r="K122" s="228"/>
      <c r="L122" s="228"/>
    </row>
    <row r="123" spans="1:12" x14ac:dyDescent="0.25">
      <c r="A123" s="191" t="s">
        <v>723</v>
      </c>
      <c r="B123" s="191">
        <v>0.45</v>
      </c>
      <c r="C123" s="191">
        <f t="shared" si="19"/>
        <v>0.38135593220338987</v>
      </c>
      <c r="D123" s="191">
        <f t="shared" si="18"/>
        <v>0.40909090909090906</v>
      </c>
      <c r="E123" s="76" t="s">
        <v>968</v>
      </c>
      <c r="F123" s="258">
        <v>8.2000000000000003E-2</v>
      </c>
      <c r="G123" s="146">
        <v>5.8999999999999997E-2</v>
      </c>
      <c r="I123" s="228"/>
      <c r="K123" s="228"/>
      <c r="L123" s="228"/>
    </row>
    <row r="124" spans="1:12" x14ac:dyDescent="0.25">
      <c r="A124" s="191" t="s">
        <v>725</v>
      </c>
      <c r="B124" s="191">
        <v>0.32</v>
      </c>
      <c r="C124" s="191">
        <f t="shared" si="19"/>
        <v>0.2711864406779661</v>
      </c>
      <c r="D124" s="191">
        <f t="shared" si="18"/>
        <v>0.29090909090909089</v>
      </c>
      <c r="I124" s="228"/>
      <c r="K124" s="228"/>
      <c r="L124" s="228"/>
    </row>
    <row r="125" spans="1:12" x14ac:dyDescent="0.25">
      <c r="A125" s="191" t="s">
        <v>727</v>
      </c>
      <c r="B125" s="191">
        <v>0</v>
      </c>
      <c r="C125" s="191">
        <f t="shared" si="19"/>
        <v>0</v>
      </c>
      <c r="D125" s="191">
        <f t="shared" si="18"/>
        <v>0</v>
      </c>
      <c r="I125" s="228"/>
      <c r="K125" s="228"/>
      <c r="L125" s="228"/>
    </row>
    <row r="126" spans="1:12" x14ac:dyDescent="0.25">
      <c r="A126" s="191" t="s">
        <v>729</v>
      </c>
      <c r="B126" s="191">
        <v>0</v>
      </c>
      <c r="C126" s="191">
        <f t="shared" si="19"/>
        <v>0</v>
      </c>
      <c r="D126" s="191">
        <f t="shared" si="18"/>
        <v>0</v>
      </c>
      <c r="I126" s="228"/>
      <c r="K126" s="228"/>
      <c r="L126" s="228"/>
    </row>
    <row r="127" spans="1:12" x14ac:dyDescent="0.25">
      <c r="A127" s="191" t="s">
        <v>731</v>
      </c>
      <c r="B127" s="191">
        <v>0</v>
      </c>
      <c r="C127" s="191">
        <f t="shared" si="19"/>
        <v>0</v>
      </c>
      <c r="D127" s="191">
        <f t="shared" si="18"/>
        <v>0</v>
      </c>
      <c r="I127" s="228"/>
      <c r="K127" s="228"/>
      <c r="L127" s="228"/>
    </row>
    <row r="128" spans="1:12" x14ac:dyDescent="0.25">
      <c r="I128" s="228"/>
    </row>
    <row r="129" spans="9:9" x14ac:dyDescent="0.25">
      <c r="I129" s="228"/>
    </row>
    <row r="130" spans="9:9" x14ac:dyDescent="0.25">
      <c r="I130" s="228"/>
    </row>
    <row r="131" spans="9:9" x14ac:dyDescent="0.25">
      <c r="I131" s="228"/>
    </row>
    <row r="132" spans="9:9" x14ac:dyDescent="0.25">
      <c r="I132" s="228"/>
    </row>
    <row r="133" spans="9:9" x14ac:dyDescent="0.25">
      <c r="I133" s="228"/>
    </row>
    <row r="134" spans="9:9" x14ac:dyDescent="0.25">
      <c r="I134" s="228"/>
    </row>
    <row r="135" spans="9:9" x14ac:dyDescent="0.25">
      <c r="I135" s="228"/>
    </row>
    <row r="136" spans="9:9" x14ac:dyDescent="0.25">
      <c r="I136" s="228"/>
    </row>
    <row r="137" spans="9:9" x14ac:dyDescent="0.25">
      <c r="I137" s="228"/>
    </row>
    <row r="138" spans="9:9" x14ac:dyDescent="0.25">
      <c r="I138" s="228"/>
    </row>
    <row r="139" spans="9:9" x14ac:dyDescent="0.25">
      <c r="I139" s="228"/>
    </row>
    <row r="140" spans="9:9" x14ac:dyDescent="0.25">
      <c r="I140" s="228"/>
    </row>
    <row r="141" spans="9:9" x14ac:dyDescent="0.25">
      <c r="I141" s="228"/>
    </row>
    <row r="142" spans="9:9" x14ac:dyDescent="0.25">
      <c r="I142" s="228"/>
    </row>
    <row r="143" spans="9:9" x14ac:dyDescent="0.25">
      <c r="I143" s="228"/>
    </row>
    <row r="144" spans="9:9" x14ac:dyDescent="0.25">
      <c r="I144" s="228"/>
    </row>
    <row r="145" spans="9:9" x14ac:dyDescent="0.25">
      <c r="I145" s="228"/>
    </row>
    <row r="146" spans="9:9" x14ac:dyDescent="0.25">
      <c r="I146" s="228"/>
    </row>
    <row r="147" spans="9:9" x14ac:dyDescent="0.25">
      <c r="I147" s="228"/>
    </row>
    <row r="148" spans="9:9" x14ac:dyDescent="0.25">
      <c r="I148" s="228"/>
    </row>
    <row r="149" spans="9:9" x14ac:dyDescent="0.25">
      <c r="I149" s="228"/>
    </row>
    <row r="150" spans="9:9" x14ac:dyDescent="0.25">
      <c r="I150" s="228"/>
    </row>
    <row r="151" spans="9:9" x14ac:dyDescent="0.25">
      <c r="I151" s="228"/>
    </row>
    <row r="152" spans="9:9" x14ac:dyDescent="0.25">
      <c r="I152" s="228"/>
    </row>
    <row r="153" spans="9:9" x14ac:dyDescent="0.25">
      <c r="I153" s="228"/>
    </row>
    <row r="154" spans="9:9" x14ac:dyDescent="0.25">
      <c r="I154" s="228"/>
    </row>
    <row r="155" spans="9:9" x14ac:dyDescent="0.25">
      <c r="I155" s="228"/>
    </row>
    <row r="156" spans="9:9" x14ac:dyDescent="0.25">
      <c r="I156" s="228"/>
    </row>
    <row r="157" spans="9:9" x14ac:dyDescent="0.25">
      <c r="I157" s="228"/>
    </row>
    <row r="158" spans="9:9" x14ac:dyDescent="0.25">
      <c r="I158" s="228"/>
    </row>
    <row r="159" spans="9:9" x14ac:dyDescent="0.25">
      <c r="I159" s="228"/>
    </row>
    <row r="160" spans="9:9" x14ac:dyDescent="0.25">
      <c r="I160" s="228"/>
    </row>
    <row r="161" spans="9:9" x14ac:dyDescent="0.25">
      <c r="I161" s="228"/>
    </row>
    <row r="162" spans="9:9" x14ac:dyDescent="0.25">
      <c r="I162" s="228"/>
    </row>
    <row r="163" spans="9:9" x14ac:dyDescent="0.25">
      <c r="I163" s="228"/>
    </row>
    <row r="164" spans="9:9" x14ac:dyDescent="0.25">
      <c r="I164" s="228"/>
    </row>
    <row r="165" spans="9:9" x14ac:dyDescent="0.25">
      <c r="I165" s="228"/>
    </row>
    <row r="166" spans="9:9" x14ac:dyDescent="0.25">
      <c r="I166" s="228"/>
    </row>
    <row r="167" spans="9:9" x14ac:dyDescent="0.25">
      <c r="I167" s="228"/>
    </row>
    <row r="168" spans="9:9" x14ac:dyDescent="0.25">
      <c r="I168" s="228"/>
    </row>
    <row r="169" spans="9:9" x14ac:dyDescent="0.25">
      <c r="I169" s="228"/>
    </row>
    <row r="170" spans="9:9" x14ac:dyDescent="0.25">
      <c r="I170" s="228"/>
    </row>
    <row r="171" spans="9:9" x14ac:dyDescent="0.25">
      <c r="I171" s="228"/>
    </row>
    <row r="172" spans="9:9" x14ac:dyDescent="0.25">
      <c r="I172" s="228"/>
    </row>
    <row r="173" spans="9:9" x14ac:dyDescent="0.25">
      <c r="I173" s="228"/>
    </row>
    <row r="174" spans="9:9" x14ac:dyDescent="0.25">
      <c r="I174" s="228"/>
    </row>
    <row r="175" spans="9:9" x14ac:dyDescent="0.25">
      <c r="I175" s="228"/>
    </row>
    <row r="176" spans="9:9" x14ac:dyDescent="0.25">
      <c r="I176" s="228"/>
    </row>
    <row r="177" spans="9:9" x14ac:dyDescent="0.25">
      <c r="I177" s="228"/>
    </row>
    <row r="178" spans="9:9" x14ac:dyDescent="0.25">
      <c r="I178" s="228"/>
    </row>
    <row r="179" spans="9:9" x14ac:dyDescent="0.25">
      <c r="I179" s="228"/>
    </row>
    <row r="180" spans="9:9" x14ac:dyDescent="0.25">
      <c r="I180" s="228"/>
    </row>
    <row r="181" spans="9:9" x14ac:dyDescent="0.25">
      <c r="I181" s="228"/>
    </row>
    <row r="182" spans="9:9" x14ac:dyDescent="0.25">
      <c r="I182" s="228"/>
    </row>
    <row r="183" spans="9:9" x14ac:dyDescent="0.25">
      <c r="I183" s="228"/>
    </row>
    <row r="184" spans="9:9" x14ac:dyDescent="0.25">
      <c r="I184" s="228"/>
    </row>
    <row r="185" spans="9:9" x14ac:dyDescent="0.25">
      <c r="I185" s="228"/>
    </row>
    <row r="186" spans="9:9" x14ac:dyDescent="0.25">
      <c r="I186" s="228"/>
    </row>
    <row r="187" spans="9:9" x14ac:dyDescent="0.25">
      <c r="I187" s="228"/>
    </row>
    <row r="188" spans="9:9" x14ac:dyDescent="0.25">
      <c r="I188" s="228"/>
    </row>
    <row r="189" spans="9:9" x14ac:dyDescent="0.25">
      <c r="I189" s="228"/>
    </row>
    <row r="190" spans="9:9" x14ac:dyDescent="0.25">
      <c r="I190" s="228"/>
    </row>
    <row r="191" spans="9:9" x14ac:dyDescent="0.25">
      <c r="I191" s="228"/>
    </row>
    <row r="192" spans="9:9" x14ac:dyDescent="0.25">
      <c r="I192" s="228"/>
    </row>
    <row r="193" spans="9:9" x14ac:dyDescent="0.25">
      <c r="I193" s="228"/>
    </row>
    <row r="194" spans="9:9" x14ac:dyDescent="0.25">
      <c r="I194" s="228"/>
    </row>
    <row r="195" spans="9:9" x14ac:dyDescent="0.25">
      <c r="I195" s="228"/>
    </row>
    <row r="196" spans="9:9" x14ac:dyDescent="0.25">
      <c r="I196" s="228"/>
    </row>
    <row r="197" spans="9:9" x14ac:dyDescent="0.25">
      <c r="I197" s="228"/>
    </row>
    <row r="198" spans="9:9" x14ac:dyDescent="0.25">
      <c r="I198" s="228"/>
    </row>
    <row r="199" spans="9:9" x14ac:dyDescent="0.25">
      <c r="I199" s="228"/>
    </row>
  </sheetData>
  <mergeCells count="65">
    <mergeCell ref="A17:P17"/>
    <mergeCell ref="A43:P43"/>
    <mergeCell ref="A18:A19"/>
    <mergeCell ref="B18:B19"/>
    <mergeCell ref="C18:C19"/>
    <mergeCell ref="F18:G18"/>
    <mergeCell ref="F31:G31"/>
    <mergeCell ref="H31:I31"/>
    <mergeCell ref="J31:L31"/>
    <mergeCell ref="M31:O31"/>
    <mergeCell ref="A44:A45"/>
    <mergeCell ref="B44:B45"/>
    <mergeCell ref="C44:C45"/>
    <mergeCell ref="H18:I18"/>
    <mergeCell ref="A30:P30"/>
    <mergeCell ref="A31:A32"/>
    <mergeCell ref="B31:B32"/>
    <mergeCell ref="C31:C32"/>
    <mergeCell ref="J44:L44"/>
    <mergeCell ref="F44:G44"/>
    <mergeCell ref="A4:P4"/>
    <mergeCell ref="A5:A6"/>
    <mergeCell ref="B5:B6"/>
    <mergeCell ref="C5:C6"/>
    <mergeCell ref="F5:G5"/>
    <mergeCell ref="H5:I5"/>
    <mergeCell ref="J5:L5"/>
    <mergeCell ref="M5:O5"/>
    <mergeCell ref="A89:A90"/>
    <mergeCell ref="M44:O44"/>
    <mergeCell ref="H44:I44"/>
    <mergeCell ref="M89:O89"/>
    <mergeCell ref="A97:A98"/>
    <mergeCell ref="B89:B90"/>
    <mergeCell ref="C89:C90"/>
    <mergeCell ref="H81:I81"/>
    <mergeCell ref="J81:L81"/>
    <mergeCell ref="J97:L97"/>
    <mergeCell ref="B97:B98"/>
    <mergeCell ref="C97:C98"/>
    <mergeCell ref="F97:G97"/>
    <mergeCell ref="H97:I97"/>
    <mergeCell ref="J89:L89"/>
    <mergeCell ref="M81:O81"/>
    <mergeCell ref="A57:F57"/>
    <mergeCell ref="F81:G81"/>
    <mergeCell ref="A81:A82"/>
    <mergeCell ref="B81:B82"/>
    <mergeCell ref="C81:C82"/>
    <mergeCell ref="A106:D106"/>
    <mergeCell ref="A105:D105"/>
    <mergeCell ref="Y18:Y19"/>
    <mergeCell ref="J18:L18"/>
    <mergeCell ref="M18:O18"/>
    <mergeCell ref="R93:S93"/>
    <mergeCell ref="R103:S103"/>
    <mergeCell ref="A80:P80"/>
    <mergeCell ref="A88:P88"/>
    <mergeCell ref="A96:P96"/>
    <mergeCell ref="R94:S94"/>
    <mergeCell ref="F89:G89"/>
    <mergeCell ref="H89:I89"/>
    <mergeCell ref="M97:O97"/>
    <mergeCell ref="A59:C59"/>
    <mergeCell ref="D59:F59"/>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pageSetUpPr fitToPage="1"/>
  </sheetPr>
  <dimension ref="B1:CH155"/>
  <sheetViews>
    <sheetView showGridLines="0" view="pageBreakPreview" topLeftCell="W1" zoomScale="90" zoomScaleNormal="115" zoomScaleSheetLayoutView="90" workbookViewId="0">
      <selection activeCell="Y18" sqref="Y18"/>
    </sheetView>
  </sheetViews>
  <sheetFormatPr baseColWidth="10" defaultColWidth="11.44140625" defaultRowHeight="15.6" outlineLevelRow="1" x14ac:dyDescent="0.25"/>
  <cols>
    <col min="1" max="1" width="3.5546875" style="545" customWidth="1"/>
    <col min="2" max="2" width="4.5546875" style="338" hidden="1" customWidth="1"/>
    <col min="3" max="3" width="8" style="545" customWidth="1"/>
    <col min="4" max="4" width="19.88671875" style="545" customWidth="1"/>
    <col min="5" max="5" width="28" style="556" customWidth="1"/>
    <col min="6" max="6" width="20.5546875" style="545" customWidth="1"/>
    <col min="7" max="7" width="7.109375" style="545" customWidth="1"/>
    <col min="8" max="8" width="4.5546875" style="545" hidden="1" customWidth="1"/>
    <col min="9" max="9" width="9.109375" style="665" customWidth="1"/>
    <col min="10" max="10" width="6.109375" style="556" customWidth="1"/>
    <col min="11" max="11" width="8.88671875" style="545" customWidth="1"/>
    <col min="12" max="12" width="7.109375" style="545" customWidth="1"/>
    <col min="13" max="13" width="7.88671875" style="545" customWidth="1"/>
    <col min="14" max="14" width="8.77734375" style="545" customWidth="1"/>
    <col min="15" max="15" width="10.88671875" style="545" customWidth="1"/>
    <col min="16" max="16" width="8.5546875" style="545" customWidth="1"/>
    <col min="17" max="17" width="10" style="545" customWidth="1"/>
    <col min="18" max="18" width="11.88671875" style="545" customWidth="1"/>
    <col min="19" max="19" width="11.44140625" style="545" hidden="1" customWidth="1"/>
    <col min="20" max="20" width="18.44140625" style="545" customWidth="1"/>
    <col min="21" max="21" width="9.109375" style="545" hidden="1" customWidth="1"/>
    <col min="22" max="22" width="28.44140625" style="545" customWidth="1"/>
    <col min="23" max="23" width="25.5546875" style="545" customWidth="1"/>
    <col min="24" max="24" width="28.88671875" style="551" customWidth="1"/>
    <col min="25" max="25" width="7.5546875" style="545" customWidth="1"/>
    <col min="26" max="26" width="12.109375" style="545" customWidth="1"/>
    <col min="27" max="27" width="8.88671875" style="545" customWidth="1"/>
    <col min="28" max="28" width="7" style="545" customWidth="1"/>
    <col min="29" max="30" width="6.88671875" style="545" customWidth="1"/>
    <col min="31" max="31" width="12.5546875" style="545" customWidth="1"/>
    <col min="32" max="32" width="8" style="545" customWidth="1"/>
    <col min="33" max="33" width="7" style="545" customWidth="1"/>
    <col min="34" max="34" width="7.109375" style="545" customWidth="1"/>
    <col min="35" max="35" width="10.109375" style="759" customWidth="1"/>
    <col min="36" max="36" width="8.5546875" style="759" customWidth="1"/>
    <col min="37" max="37" width="7.88671875" style="759" customWidth="1"/>
    <col min="38" max="38" width="8.5546875" style="805" customWidth="1"/>
    <col min="39" max="40" width="8.5546875" style="337" customWidth="1"/>
    <col min="41" max="41" width="14.44140625" style="337" customWidth="1"/>
    <col min="42" max="44" width="8.5546875" style="337" customWidth="1"/>
    <col min="45" max="47" width="8.5546875" style="545" customWidth="1"/>
    <col min="48" max="48" width="11.88671875" style="545" customWidth="1"/>
    <col min="49" max="49" width="8.5546875" style="552" customWidth="1"/>
    <col min="50" max="52" width="8.5546875" style="337" customWidth="1"/>
    <col min="53" max="57" width="8.5546875" style="545" customWidth="1"/>
    <col min="58" max="60" width="8.5546875" style="337" customWidth="1"/>
    <col min="61" max="61" width="8.5546875" style="644" customWidth="1"/>
    <col min="62" max="62" width="8.5546875" style="615" customWidth="1"/>
    <col min="63" max="69" width="10.109375" style="615" customWidth="1"/>
    <col min="70" max="71" width="10.5546875" style="615" customWidth="1"/>
    <col min="72" max="72" width="10.5546875" style="607" customWidth="1"/>
    <col min="73" max="74" width="10.5546875" style="615" customWidth="1"/>
    <col min="75" max="75" width="12" style="615" customWidth="1"/>
    <col min="76" max="76" width="10.88671875" style="607" customWidth="1"/>
    <col min="77" max="77" width="6.5546875" style="607" customWidth="1"/>
    <col min="78" max="78" width="9.5546875" style="607" customWidth="1"/>
    <col min="79" max="79" width="27.44140625" style="615" customWidth="1"/>
    <col min="80" max="80" width="36.44140625" style="615" customWidth="1"/>
    <col min="81" max="81" width="21.44140625" style="615" customWidth="1"/>
    <col min="82" max="82" width="13.44140625" style="607" customWidth="1"/>
    <col min="83" max="83" width="11.44140625" style="615" customWidth="1"/>
    <col min="84" max="85" width="0.109375" style="615" customWidth="1"/>
    <col min="86" max="1001" width="11.44140625" style="545" customWidth="1"/>
    <col min="1002" max="16384" width="11.44140625" style="545"/>
  </cols>
  <sheetData>
    <row r="1" spans="2:86" s="647" customFormat="1" ht="18" customHeight="1" outlineLevel="1" x14ac:dyDescent="0.25">
      <c r="B1" s="645"/>
      <c r="C1" s="761"/>
      <c r="D1" s="761"/>
      <c r="E1" s="761"/>
      <c r="F1" s="761"/>
      <c r="G1" s="761"/>
      <c r="H1" s="761"/>
      <c r="I1" s="761"/>
      <c r="J1" s="761"/>
      <c r="K1" s="592"/>
      <c r="L1" s="592"/>
      <c r="M1" s="592"/>
      <c r="N1" s="592"/>
      <c r="O1" s="592"/>
      <c r="P1" s="592"/>
      <c r="Q1" s="592"/>
      <c r="R1" s="592"/>
      <c r="S1" s="592"/>
      <c r="T1" s="592"/>
      <c r="U1" s="592"/>
      <c r="V1" s="592"/>
      <c r="W1" s="592"/>
      <c r="X1" s="592"/>
      <c r="Y1" s="592"/>
      <c r="Z1" s="592"/>
      <c r="AA1" s="592"/>
      <c r="AB1" s="592"/>
      <c r="AC1" s="592"/>
      <c r="AD1" s="592"/>
      <c r="AE1" s="592"/>
      <c r="AF1" s="592"/>
      <c r="AG1" s="592"/>
      <c r="AH1" s="592"/>
      <c r="AI1" s="797"/>
      <c r="AJ1" s="797"/>
      <c r="AK1" s="800" t="s">
        <v>417</v>
      </c>
      <c r="AL1" s="800"/>
      <c r="AM1" s="646"/>
      <c r="AN1" s="646"/>
      <c r="AO1" s="646"/>
      <c r="AP1" s="646"/>
      <c r="AQ1" s="646"/>
      <c r="AR1" s="646"/>
      <c r="AW1" s="648"/>
      <c r="AX1" s="646"/>
      <c r="AY1" s="646"/>
      <c r="AZ1" s="646"/>
      <c r="BA1" s="646"/>
      <c r="BB1" s="646"/>
      <c r="BC1" s="646"/>
      <c r="BD1" s="646"/>
      <c r="BE1" s="646"/>
      <c r="BF1" s="646"/>
      <c r="BG1" s="646"/>
      <c r="BH1" s="646"/>
      <c r="BT1" s="645"/>
      <c r="BX1" s="645"/>
      <c r="BY1" s="645"/>
      <c r="BZ1" s="645"/>
      <c r="CD1" s="645"/>
    </row>
    <row r="2" spans="2:86" s="647" customFormat="1" ht="33" customHeight="1" thickBot="1" x14ac:dyDescent="0.3">
      <c r="B2" s="645"/>
      <c r="C2" s="761"/>
      <c r="D2" s="761"/>
      <c r="E2" s="761"/>
      <c r="F2" s="1541" t="str">
        <f>'PORTADA '!I1</f>
        <v>MEMORIA DE CÁLCULO DE CONDUCTORES, CANALIZACIONES Y CUADRO DE CARGAS - DT-58</v>
      </c>
      <c r="G2" s="1541"/>
      <c r="H2" s="1541"/>
      <c r="I2" s="1541"/>
      <c r="J2" s="1541"/>
      <c r="K2" s="1541"/>
      <c r="L2" s="1541"/>
      <c r="M2" s="1541"/>
      <c r="N2" s="1541"/>
      <c r="O2" s="1541"/>
      <c r="P2" s="1541"/>
      <c r="Q2" s="1541"/>
      <c r="R2" s="1541"/>
      <c r="S2" s="1541"/>
      <c r="T2" s="1541"/>
      <c r="U2" s="1541"/>
      <c r="V2" s="1541"/>
      <c r="W2" s="1541"/>
      <c r="X2" s="1541"/>
      <c r="Y2" s="1541"/>
      <c r="Z2" s="1541"/>
      <c r="AA2" s="1541"/>
      <c r="AB2" s="1541"/>
      <c r="AC2" s="1541"/>
      <c r="AD2" s="1541"/>
      <c r="AE2" s="1541"/>
      <c r="AF2" s="1541"/>
      <c r="AG2" s="1541"/>
      <c r="AH2" s="1541"/>
      <c r="AK2" s="800"/>
      <c r="AL2" s="800"/>
      <c r="AM2" s="646"/>
      <c r="AN2" s="646"/>
      <c r="AO2" s="646"/>
      <c r="AP2" s="646"/>
      <c r="AQ2" s="646"/>
      <c r="AR2" s="646"/>
      <c r="AW2" s="648"/>
      <c r="AX2" s="646"/>
      <c r="AY2" s="646"/>
      <c r="AZ2" s="646"/>
      <c r="BA2" s="646"/>
      <c r="BB2" s="646"/>
      <c r="BC2" s="646"/>
      <c r="BD2" s="646"/>
      <c r="BE2" s="646"/>
      <c r="BF2" s="646"/>
      <c r="BG2" s="646"/>
      <c r="BH2" s="646"/>
      <c r="BT2" s="645"/>
      <c r="BX2" s="645"/>
      <c r="BY2" s="645"/>
      <c r="BZ2" s="645"/>
      <c r="CD2" s="645"/>
    </row>
    <row r="3" spans="2:86" s="647" customFormat="1" ht="21" customHeight="1" thickBot="1" x14ac:dyDescent="0.3">
      <c r="B3" s="645"/>
      <c r="C3" s="761"/>
      <c r="D3" s="761"/>
      <c r="E3" s="761"/>
      <c r="F3" s="1540" t="str">
        <f>'PORTADA '!I3</f>
        <v>Contrato No. 3037739 ODS-039: “INGENIERÍA BÁSICA DESARROLLO INTEGRAL DINA T - PALOGRANDE”</v>
      </c>
      <c r="G3" s="1540"/>
      <c r="H3" s="1540"/>
      <c r="I3" s="1540"/>
      <c r="J3" s="1540"/>
      <c r="K3" s="1540"/>
      <c r="L3" s="1540"/>
      <c r="M3" s="1540"/>
      <c r="N3" s="1540"/>
      <c r="O3" s="1540"/>
      <c r="P3" s="1540"/>
      <c r="Q3" s="1540"/>
      <c r="R3" s="1540"/>
      <c r="S3" s="1540"/>
      <c r="T3" s="1540"/>
      <c r="U3" s="1540"/>
      <c r="V3" s="1540"/>
      <c r="W3" s="1540"/>
      <c r="X3" s="1540"/>
      <c r="Y3" s="1540"/>
      <c r="Z3" s="1540"/>
      <c r="AA3" s="1540"/>
      <c r="AB3" s="1540"/>
      <c r="AC3" s="1540"/>
      <c r="AD3" s="1540"/>
      <c r="AE3" s="1540"/>
      <c r="AF3" s="1540"/>
      <c r="AG3" s="1540"/>
      <c r="AH3" s="1540"/>
      <c r="AK3" s="800"/>
      <c r="AL3" s="800"/>
      <c r="AM3" s="646"/>
      <c r="AN3" s="646"/>
      <c r="AO3" s="646"/>
      <c r="AP3" s="646"/>
      <c r="AQ3" s="646"/>
      <c r="AR3" s="646"/>
      <c r="AT3" s="1686" t="s">
        <v>993</v>
      </c>
      <c r="AU3" s="1687"/>
      <c r="AV3" s="1687"/>
      <c r="AW3" s="649" t="s">
        <v>681</v>
      </c>
      <c r="AX3" s="646"/>
      <c r="AY3" s="646"/>
      <c r="AZ3" s="646"/>
      <c r="BA3" s="646"/>
      <c r="BB3" s="646"/>
      <c r="BC3" s="646"/>
      <c r="BD3" s="646"/>
      <c r="BE3" s="646"/>
      <c r="BF3" s="646"/>
      <c r="BG3" s="646"/>
      <c r="BH3" s="646"/>
      <c r="BT3" s="645"/>
      <c r="BX3" s="645"/>
      <c r="BY3" s="645"/>
      <c r="BZ3" s="645"/>
      <c r="CD3" s="645"/>
    </row>
    <row r="4" spans="2:86" s="647" customFormat="1" ht="12.75" customHeight="1" x14ac:dyDescent="0.25">
      <c r="B4" s="645"/>
      <c r="C4" s="761"/>
      <c r="D4" s="761"/>
      <c r="E4" s="761"/>
      <c r="F4" s="1371" t="str">
        <f>'CÁLCULO CONDUCTORES DE MT'!$F$4</f>
        <v>Versión:</v>
      </c>
      <c r="G4" s="1542">
        <f>'PORTADA '!R6</f>
        <v>0</v>
      </c>
      <c r="H4" s="1542"/>
      <c r="I4" s="1542"/>
      <c r="J4" s="1542"/>
      <c r="K4" s="1542"/>
      <c r="L4" s="1542"/>
      <c r="M4" s="1542"/>
      <c r="N4" s="1542"/>
      <c r="O4" s="1542"/>
      <c r="P4" s="1542"/>
      <c r="Q4" s="1542"/>
      <c r="R4" s="1542"/>
      <c r="S4" s="1542"/>
      <c r="T4" s="1542"/>
      <c r="U4" s="1542"/>
      <c r="V4" s="1542"/>
      <c r="W4" s="1542"/>
      <c r="X4" s="1542"/>
      <c r="Y4" s="1542"/>
      <c r="Z4" s="1542"/>
      <c r="AA4" s="1542"/>
      <c r="AB4" s="1542"/>
      <c r="AC4" s="1542"/>
      <c r="AD4" s="1542"/>
      <c r="AE4" s="1542"/>
      <c r="AF4" s="1542"/>
      <c r="AG4" s="1542"/>
      <c r="AH4" s="1542"/>
      <c r="AK4" s="800"/>
      <c r="AL4" s="800"/>
      <c r="AM4" s="646"/>
      <c r="AN4" s="646"/>
      <c r="AO4" s="646"/>
      <c r="AP4" s="646"/>
      <c r="AQ4" s="646"/>
      <c r="AR4" s="646"/>
      <c r="AW4" s="648"/>
      <c r="AX4" s="646"/>
      <c r="AY4" s="646"/>
      <c r="AZ4" s="646"/>
      <c r="BA4" s="646"/>
      <c r="BB4" s="646"/>
      <c r="BC4" s="646"/>
      <c r="BD4" s="646"/>
      <c r="BE4" s="646"/>
      <c r="BF4" s="646"/>
      <c r="BG4" s="646"/>
      <c r="BH4" s="646"/>
      <c r="BT4" s="645"/>
      <c r="BX4" s="645"/>
      <c r="BY4" s="645"/>
      <c r="BZ4" s="645"/>
      <c r="CD4" s="645"/>
    </row>
    <row r="5" spans="2:86" s="647" customFormat="1" ht="12.75" customHeight="1" x14ac:dyDescent="0.25">
      <c r="B5" s="645"/>
      <c r="C5" s="761"/>
      <c r="D5" s="761"/>
      <c r="E5" s="761"/>
      <c r="F5" s="1371" t="str">
        <f>'CÁLCULO CONDUCTORES DE MT'!$F$5</f>
        <v>Fecha:</v>
      </c>
      <c r="G5" s="1553">
        <f>'PORTADA '!X6</f>
        <v>46007</v>
      </c>
      <c r="H5" s="1554"/>
      <c r="I5" s="1554"/>
      <c r="J5" s="1554"/>
      <c r="K5" s="1554"/>
      <c r="L5" s="1553"/>
      <c r="M5" s="1554"/>
      <c r="N5" s="1554"/>
      <c r="O5" s="1554"/>
      <c r="P5" s="1554"/>
      <c r="Q5" s="1553"/>
      <c r="R5" s="1554"/>
      <c r="S5" s="1554"/>
      <c r="T5" s="1554"/>
      <c r="U5" s="1554"/>
      <c r="V5" s="1553"/>
      <c r="W5" s="1554"/>
      <c r="X5" s="1554"/>
      <c r="Y5" s="1554"/>
      <c r="Z5" s="1554"/>
      <c r="AA5" s="1553"/>
      <c r="AB5" s="1554"/>
      <c r="AC5" s="1554"/>
      <c r="AD5" s="1554"/>
      <c r="AE5" s="1554"/>
      <c r="AF5" s="1553"/>
      <c r="AG5" s="1554"/>
      <c r="AH5" s="1372"/>
      <c r="AK5" s="800"/>
      <c r="AL5" s="800"/>
      <c r="AM5" s="646"/>
      <c r="AN5" s="646"/>
      <c r="AO5" s="646"/>
      <c r="AP5" s="646"/>
      <c r="AQ5" s="646"/>
      <c r="AR5" s="646"/>
      <c r="AW5" s="648"/>
      <c r="AX5" s="646"/>
      <c r="AY5" s="646"/>
      <c r="AZ5" s="646"/>
      <c r="BA5" s="646"/>
      <c r="BB5" s="646"/>
      <c r="BC5" s="646"/>
      <c r="BD5" s="646"/>
      <c r="BE5" s="646"/>
      <c r="BF5" s="646"/>
      <c r="BG5" s="646"/>
      <c r="BH5" s="646"/>
      <c r="BT5" s="645"/>
      <c r="BX5" s="645"/>
      <c r="BY5" s="645"/>
      <c r="BZ5" s="645"/>
      <c r="CD5" s="645"/>
    </row>
    <row r="6" spans="2:86" s="647" customFormat="1" ht="37.65" customHeight="1" x14ac:dyDescent="0.25">
      <c r="B6" s="645"/>
      <c r="C6" s="761"/>
      <c r="D6" s="761"/>
      <c r="E6" s="761"/>
      <c r="F6" s="761"/>
      <c r="G6" s="761"/>
      <c r="H6" s="761"/>
      <c r="I6" s="761"/>
      <c r="J6" s="761"/>
      <c r="K6" s="765"/>
      <c r="L6" s="765"/>
      <c r="M6" s="765"/>
      <c r="N6" s="765"/>
      <c r="O6" s="765"/>
      <c r="P6" s="765"/>
      <c r="Q6" s="765"/>
      <c r="R6" s="765"/>
      <c r="S6" s="765"/>
      <c r="T6" s="765"/>
      <c r="U6" s="765"/>
      <c r="V6" s="765"/>
      <c r="W6" s="763"/>
      <c r="X6" s="763"/>
      <c r="Y6" s="763"/>
      <c r="Z6" s="764"/>
      <c r="AA6" s="764"/>
      <c r="AB6" s="764"/>
      <c r="AC6" s="764"/>
      <c r="AD6" s="764"/>
      <c r="AE6" s="762"/>
      <c r="AF6" s="762"/>
      <c r="AG6" s="762"/>
      <c r="AH6" s="762"/>
      <c r="AI6" s="798"/>
      <c r="AJ6" s="798"/>
      <c r="AK6" s="800"/>
      <c r="AL6" s="800"/>
      <c r="AM6" s="1732" t="s">
        <v>434</v>
      </c>
      <c r="AN6" s="1685"/>
      <c r="AO6" s="1683" t="s">
        <v>435</v>
      </c>
      <c r="AP6" s="1683"/>
      <c r="AQ6" s="1683"/>
      <c r="AR6" s="1683"/>
      <c r="AS6" s="1683" t="s">
        <v>436</v>
      </c>
      <c r="AT6" s="1683"/>
      <c r="AU6" s="1683"/>
      <c r="AV6" s="1683"/>
      <c r="AW6" s="1684" t="s">
        <v>437</v>
      </c>
      <c r="AX6" s="1685"/>
      <c r="AY6" s="1683" t="s">
        <v>438</v>
      </c>
      <c r="AZ6" s="1683"/>
      <c r="BA6" s="1683"/>
      <c r="BB6" s="1683"/>
      <c r="BC6" s="1684" t="s">
        <v>994</v>
      </c>
      <c r="BD6" s="1685"/>
      <c r="BE6" s="1683" t="s">
        <v>995</v>
      </c>
      <c r="BF6" s="1683"/>
      <c r="BG6" s="1683"/>
      <c r="BH6" s="1683"/>
      <c r="BT6" s="645"/>
      <c r="BX6" s="645"/>
      <c r="BY6" s="645"/>
      <c r="BZ6" s="645"/>
      <c r="CD6" s="645"/>
      <c r="CF6" s="650">
        <v>3.7</v>
      </c>
      <c r="CH6" s="650"/>
    </row>
    <row r="7" spans="2:86" s="555" customFormat="1" ht="11.25" customHeight="1" thickBot="1" x14ac:dyDescent="0.3">
      <c r="B7" s="553" t="s">
        <v>351</v>
      </c>
      <c r="C7" s="554">
        <v>0</v>
      </c>
      <c r="D7" s="554">
        <v>1</v>
      </c>
      <c r="E7" s="554">
        <v>2</v>
      </c>
      <c r="F7" s="554">
        <v>3</v>
      </c>
      <c r="G7" s="554">
        <v>4</v>
      </c>
      <c r="H7" s="554">
        <v>5</v>
      </c>
      <c r="I7" s="664">
        <v>6</v>
      </c>
      <c r="J7" s="554">
        <v>7</v>
      </c>
      <c r="K7" s="554">
        <v>8</v>
      </c>
      <c r="L7" s="554">
        <v>9</v>
      </c>
      <c r="M7" s="554">
        <v>10</v>
      </c>
      <c r="N7" s="554">
        <v>11</v>
      </c>
      <c r="O7" s="554">
        <v>12</v>
      </c>
      <c r="P7" s="554">
        <v>13</v>
      </c>
      <c r="Q7" s="554">
        <v>14</v>
      </c>
      <c r="R7" s="554">
        <v>15</v>
      </c>
      <c r="S7" s="554">
        <v>16</v>
      </c>
      <c r="T7" s="554">
        <v>17</v>
      </c>
      <c r="U7" s="554">
        <v>18</v>
      </c>
      <c r="V7" s="554">
        <v>19</v>
      </c>
      <c r="W7" s="554">
        <v>20</v>
      </c>
      <c r="X7" s="554">
        <v>21</v>
      </c>
      <c r="Y7" s="554">
        <v>22</v>
      </c>
      <c r="Z7" s="554">
        <v>23</v>
      </c>
      <c r="AA7" s="554">
        <v>24</v>
      </c>
      <c r="AB7" s="554">
        <v>25</v>
      </c>
      <c r="AC7" s="554">
        <v>26</v>
      </c>
      <c r="AD7" s="554">
        <v>27</v>
      </c>
      <c r="AE7" s="554">
        <v>28</v>
      </c>
      <c r="AF7" s="554">
        <v>29</v>
      </c>
      <c r="AG7" s="554">
        <v>30</v>
      </c>
      <c r="AH7" s="554">
        <v>31</v>
      </c>
      <c r="AI7" s="799">
        <v>32</v>
      </c>
      <c r="AJ7" s="799">
        <v>33</v>
      </c>
      <c r="AK7" s="801">
        <v>34</v>
      </c>
      <c r="AL7" s="801">
        <v>35</v>
      </c>
      <c r="AM7" s="603">
        <v>36</v>
      </c>
      <c r="AN7" s="603">
        <v>37</v>
      </c>
      <c r="AO7" s="603">
        <v>38</v>
      </c>
      <c r="AP7" s="603">
        <v>39</v>
      </c>
      <c r="AQ7" s="603">
        <v>40</v>
      </c>
      <c r="AR7" s="603">
        <v>41</v>
      </c>
      <c r="AS7" s="603">
        <v>42</v>
      </c>
      <c r="AT7" s="603">
        <v>43</v>
      </c>
      <c r="AU7" s="603">
        <v>44</v>
      </c>
      <c r="AV7" s="603">
        <v>45</v>
      </c>
      <c r="AW7" s="603">
        <v>46</v>
      </c>
      <c r="AX7" s="603">
        <v>47</v>
      </c>
      <c r="AY7" s="603">
        <v>48</v>
      </c>
      <c r="AZ7" s="603">
        <v>49</v>
      </c>
      <c r="BA7" s="603">
        <v>50</v>
      </c>
      <c r="BB7" s="603">
        <v>51</v>
      </c>
      <c r="BC7" s="603">
        <v>52</v>
      </c>
      <c r="BD7" s="603">
        <v>53</v>
      </c>
      <c r="BE7" s="603">
        <v>54</v>
      </c>
      <c r="BF7" s="603">
        <v>55</v>
      </c>
      <c r="BG7" s="603">
        <v>56</v>
      </c>
      <c r="BH7" s="603">
        <v>57</v>
      </c>
      <c r="BI7" s="628">
        <v>58</v>
      </c>
      <c r="BJ7" s="628">
        <v>59</v>
      </c>
      <c r="BK7" s="628">
        <v>60</v>
      </c>
      <c r="BL7" s="628">
        <v>61</v>
      </c>
      <c r="BM7" s="628">
        <v>62</v>
      </c>
      <c r="BN7" s="628">
        <v>63</v>
      </c>
      <c r="BO7" s="628">
        <v>64</v>
      </c>
      <c r="BP7" s="628">
        <v>65</v>
      </c>
      <c r="BQ7" s="628">
        <v>66</v>
      </c>
      <c r="BR7" s="628">
        <v>67</v>
      </c>
      <c r="BS7" s="628">
        <v>68</v>
      </c>
      <c r="BT7" s="628">
        <v>69</v>
      </c>
      <c r="BU7" s="628">
        <v>70</v>
      </c>
      <c r="BV7" s="628">
        <v>71</v>
      </c>
      <c r="BW7" s="628">
        <v>72</v>
      </c>
      <c r="BX7" s="628">
        <v>73</v>
      </c>
      <c r="BY7" s="628">
        <v>74</v>
      </c>
      <c r="BZ7" s="628">
        <v>75</v>
      </c>
      <c r="CA7" s="628">
        <v>76</v>
      </c>
      <c r="CB7" s="628">
        <v>77</v>
      </c>
      <c r="CC7" s="628">
        <v>78</v>
      </c>
      <c r="CD7" s="628">
        <v>79</v>
      </c>
      <c r="CE7" s="628">
        <v>80</v>
      </c>
      <c r="CF7" s="628">
        <v>81</v>
      </c>
      <c r="CG7" s="628">
        <v>82</v>
      </c>
      <c r="CH7" s="603"/>
    </row>
    <row r="8" spans="2:86" ht="12.75" customHeight="1" thickBot="1" x14ac:dyDescent="0.3">
      <c r="B8" s="809" t="s">
        <v>440</v>
      </c>
      <c r="C8" s="996" t="s">
        <v>441</v>
      </c>
      <c r="D8" s="996" t="s">
        <v>442</v>
      </c>
      <c r="E8" s="996" t="s">
        <v>443</v>
      </c>
      <c r="F8" s="996" t="s">
        <v>444</v>
      </c>
      <c r="G8" s="996" t="s">
        <v>445</v>
      </c>
      <c r="H8" s="996"/>
      <c r="I8" s="997" t="s">
        <v>446</v>
      </c>
      <c r="J8" s="996" t="s">
        <v>447</v>
      </c>
      <c r="K8" s="996" t="s">
        <v>448</v>
      </c>
      <c r="L8" s="996" t="s">
        <v>449</v>
      </c>
      <c r="M8" s="996" t="s">
        <v>450</v>
      </c>
      <c r="N8" s="996" t="s">
        <v>451</v>
      </c>
      <c r="O8" s="996" t="s">
        <v>452</v>
      </c>
      <c r="P8" s="996" t="s">
        <v>453</v>
      </c>
      <c r="Q8" s="996" t="s">
        <v>454</v>
      </c>
      <c r="R8" s="996" t="s">
        <v>455</v>
      </c>
      <c r="S8" s="996" t="s">
        <v>996</v>
      </c>
      <c r="T8" s="996" t="s">
        <v>456</v>
      </c>
      <c r="U8" s="996" t="s">
        <v>996</v>
      </c>
      <c r="V8" s="996" t="s">
        <v>457</v>
      </c>
      <c r="W8" s="996" t="s">
        <v>458</v>
      </c>
      <c r="X8" s="996" t="s">
        <v>459</v>
      </c>
      <c r="Y8" s="996" t="s">
        <v>460</v>
      </c>
      <c r="Z8" s="996" t="s">
        <v>461</v>
      </c>
      <c r="AA8" s="996" t="s">
        <v>462</v>
      </c>
      <c r="AB8" s="996" t="s">
        <v>463</v>
      </c>
      <c r="AC8" s="996" t="s">
        <v>464</v>
      </c>
      <c r="AD8" s="996" t="s">
        <v>465</v>
      </c>
      <c r="AE8" s="996" t="s">
        <v>466</v>
      </c>
      <c r="AF8" s="996" t="s">
        <v>467</v>
      </c>
      <c r="AG8" s="996" t="s">
        <v>468</v>
      </c>
      <c r="AH8" s="996" t="s">
        <v>997</v>
      </c>
      <c r="AI8" s="996" t="s">
        <v>998</v>
      </c>
      <c r="AJ8" s="996" t="s">
        <v>469</v>
      </c>
      <c r="AK8" s="998" t="s">
        <v>470</v>
      </c>
      <c r="AL8" s="999" t="s">
        <v>471</v>
      </c>
      <c r="AM8" s="999" t="s">
        <v>472</v>
      </c>
      <c r="AN8" s="999" t="s">
        <v>473</v>
      </c>
      <c r="AO8" s="999" t="s">
        <v>474</v>
      </c>
      <c r="AP8" s="999" t="s">
        <v>475</v>
      </c>
      <c r="AQ8" s="999" t="s">
        <v>476</v>
      </c>
      <c r="AR8" s="999" t="s">
        <v>477</v>
      </c>
      <c r="AS8" s="999" t="s">
        <v>478</v>
      </c>
      <c r="AT8" s="999" t="s">
        <v>479</v>
      </c>
      <c r="AU8" s="999" t="s">
        <v>480</v>
      </c>
      <c r="AV8" s="999" t="s">
        <v>481</v>
      </c>
      <c r="AW8" s="999" t="s">
        <v>482</v>
      </c>
      <c r="AX8" s="999" t="s">
        <v>483</v>
      </c>
      <c r="AY8" s="999" t="s">
        <v>484</v>
      </c>
      <c r="AZ8" s="999" t="s">
        <v>485</v>
      </c>
      <c r="BA8" s="1000" t="s">
        <v>486</v>
      </c>
      <c r="BB8" s="1000" t="s">
        <v>487</v>
      </c>
      <c r="BC8" s="1000" t="s">
        <v>999</v>
      </c>
      <c r="BD8" s="1000" t="s">
        <v>488</v>
      </c>
      <c r="BE8" s="1000" t="s">
        <v>489</v>
      </c>
      <c r="BF8" s="1000" t="s">
        <v>490</v>
      </c>
      <c r="BG8" s="1000" t="s">
        <v>491</v>
      </c>
      <c r="BH8" s="1000" t="s">
        <v>492</v>
      </c>
      <c r="BI8" s="1000" t="s">
        <v>493</v>
      </c>
      <c r="BJ8" s="1000" t="s">
        <v>494</v>
      </c>
      <c r="BK8" s="1000" t="s">
        <v>495</v>
      </c>
      <c r="BL8" s="1000" t="s">
        <v>496</v>
      </c>
      <c r="BM8" s="1000" t="s">
        <v>497</v>
      </c>
      <c r="BN8" s="1000" t="s">
        <v>498</v>
      </c>
      <c r="BO8" s="1000" t="s">
        <v>499</v>
      </c>
      <c r="BP8" s="1000" t="s">
        <v>500</v>
      </c>
      <c r="BQ8" s="1000" t="s">
        <v>501</v>
      </c>
      <c r="BR8" s="1000" t="s">
        <v>502</v>
      </c>
      <c r="BS8" s="1000" t="s">
        <v>503</v>
      </c>
      <c r="BT8" s="1001" t="s">
        <v>504</v>
      </c>
      <c r="BU8" s="1002" t="s">
        <v>505</v>
      </c>
      <c r="BV8" s="1002" t="s">
        <v>506</v>
      </c>
      <c r="BW8" s="1002" t="s">
        <v>1000</v>
      </c>
      <c r="BX8" s="1002" t="s">
        <v>1001</v>
      </c>
      <c r="BY8" s="1002" t="s">
        <v>1002</v>
      </c>
      <c r="BZ8" s="1002" t="s">
        <v>1003</v>
      </c>
      <c r="CA8" s="1002" t="s">
        <v>1004</v>
      </c>
      <c r="CB8" s="1002" t="s">
        <v>1005</v>
      </c>
      <c r="CC8" s="1002" t="s">
        <v>1006</v>
      </c>
      <c r="CD8" s="1002" t="s">
        <v>1007</v>
      </c>
      <c r="CE8" s="1002" t="s">
        <v>1008</v>
      </c>
      <c r="CF8" s="1002" t="s">
        <v>1009</v>
      </c>
      <c r="CG8" s="1002" t="s">
        <v>1010</v>
      </c>
    </row>
    <row r="9" spans="2:86" ht="20.25" customHeight="1" x14ac:dyDescent="0.25">
      <c r="B9" s="787"/>
      <c r="C9" s="1643" t="s">
        <v>0</v>
      </c>
      <c r="D9" s="1654" t="s">
        <v>1011</v>
      </c>
      <c r="E9" s="1645" t="s">
        <v>1012</v>
      </c>
      <c r="F9" s="1645"/>
      <c r="G9" s="1650" t="s">
        <v>510</v>
      </c>
      <c r="H9" s="1004"/>
      <c r="I9" s="1675" t="s">
        <v>1013</v>
      </c>
      <c r="J9" s="1675"/>
      <c r="K9" s="1654" t="s">
        <v>512</v>
      </c>
      <c r="L9" s="1654"/>
      <c r="M9" s="1652" t="s">
        <v>1014</v>
      </c>
      <c r="N9" s="1652" t="s">
        <v>514</v>
      </c>
      <c r="O9" s="1650" t="s">
        <v>515</v>
      </c>
      <c r="P9" s="1650" t="s">
        <v>736</v>
      </c>
      <c r="Q9" s="1665" t="s">
        <v>1015</v>
      </c>
      <c r="R9" s="1665"/>
      <c r="S9" s="1665"/>
      <c r="T9" s="1665"/>
      <c r="U9" s="1006"/>
      <c r="V9" s="1645" t="s">
        <v>1016</v>
      </c>
      <c r="W9" s="1645" t="s">
        <v>1017</v>
      </c>
      <c r="X9" s="1645" t="s">
        <v>522</v>
      </c>
      <c r="Y9" s="1667" t="s">
        <v>1018</v>
      </c>
      <c r="Z9" s="1668" t="s">
        <v>524</v>
      </c>
      <c r="AA9" s="1668"/>
      <c r="AB9" s="1668"/>
      <c r="AC9" s="1645" t="s">
        <v>525</v>
      </c>
      <c r="AD9" s="1645"/>
      <c r="AE9" s="1682" t="str">
        <f>"CAPACIDAD DE CORRIENTE
REAL DERRATEADA 
(# CONDUCTORES x FASE)x"&amp;Y8&amp;"x"&amp;AB8&amp;"x"&amp;AD8&amp;""</f>
        <v>CAPACIDAD DE CORRIENTE
REAL DERRATEADA 
(# CONDUCTORES x FASE)xC20xC23xC25</v>
      </c>
      <c r="AF9" s="1678" t="s">
        <v>526</v>
      </c>
      <c r="AG9" s="1678" t="s">
        <v>527</v>
      </c>
      <c r="AH9" s="1678" t="s">
        <v>528</v>
      </c>
      <c r="AI9" s="1680" t="s">
        <v>1019</v>
      </c>
      <c r="AJ9" s="1680" t="s">
        <v>1020</v>
      </c>
      <c r="AK9" s="1664" t="s">
        <v>529</v>
      </c>
      <c r="AL9" s="1689" t="s">
        <v>1021</v>
      </c>
      <c r="AM9" s="1655" t="s">
        <v>530</v>
      </c>
      <c r="AN9" s="1655" t="s">
        <v>531</v>
      </c>
      <c r="AO9" s="1655" t="s">
        <v>1022</v>
      </c>
      <c r="AP9" s="1655" t="s">
        <v>533</v>
      </c>
      <c r="AQ9" s="1655" t="s">
        <v>1023</v>
      </c>
      <c r="AR9" s="1655" t="s">
        <v>535</v>
      </c>
      <c r="AS9" s="1690" t="s">
        <v>536</v>
      </c>
      <c r="AT9" s="1691"/>
      <c r="AU9" s="1690" t="s">
        <v>537</v>
      </c>
      <c r="AV9" s="1691"/>
      <c r="AW9" s="1655" t="s">
        <v>1024</v>
      </c>
      <c r="AX9" s="1655" t="s">
        <v>538</v>
      </c>
      <c r="AY9" s="1655" t="s">
        <v>540</v>
      </c>
      <c r="AZ9" s="1655" t="s">
        <v>1025</v>
      </c>
      <c r="BA9" s="1655" t="s">
        <v>1026</v>
      </c>
      <c r="BB9" s="1655" t="s">
        <v>543</v>
      </c>
      <c r="BC9" s="1655" t="s">
        <v>544</v>
      </c>
      <c r="BD9" s="1655" t="s">
        <v>1027</v>
      </c>
      <c r="BE9" s="1738" t="str">
        <f>"CAPACIDAD DE CORRIENTE
REAL DERRATEADA 
(# CONDUCTORES x FASE)x"&amp;AY8&amp;"x"&amp;BB8&amp;"x"&amp;BD8&amp;""</f>
        <v>CAPACIDAD DE CORRIENTE
REAL DERRATEADA 
(# CONDUCTORES x FASE)xC46xC49xC51</v>
      </c>
      <c r="BF9" s="1655" t="s">
        <v>530</v>
      </c>
      <c r="BG9" s="1655" t="s">
        <v>531</v>
      </c>
      <c r="BH9" s="1655" t="s">
        <v>1023</v>
      </c>
      <c r="BI9" s="605"/>
      <c r="BJ9" s="605"/>
      <c r="BK9" s="605"/>
      <c r="BL9" s="605"/>
      <c r="BM9" s="605"/>
      <c r="BN9" s="606"/>
      <c r="BO9" s="605"/>
      <c r="BP9" s="1736" t="s">
        <v>546</v>
      </c>
      <c r="BQ9" s="1737"/>
      <c r="BR9" s="1733" t="s">
        <v>1028</v>
      </c>
      <c r="BS9" s="1733"/>
      <c r="BT9" s="1733"/>
      <c r="BU9" s="1733"/>
      <c r="BV9" s="1733"/>
      <c r="BW9" s="1733"/>
      <c r="BX9" s="1733"/>
      <c r="BY9" s="1733"/>
      <c r="BZ9" s="1733"/>
      <c r="CA9" s="1733"/>
      <c r="CB9" s="1733"/>
      <c r="CC9" s="1733"/>
      <c r="CH9" s="554"/>
    </row>
    <row r="10" spans="2:86" ht="23.25" customHeight="1" x14ac:dyDescent="0.25">
      <c r="B10" s="787"/>
      <c r="C10" s="1643"/>
      <c r="D10" s="1654"/>
      <c r="E10" s="1645"/>
      <c r="F10" s="1645"/>
      <c r="G10" s="1650"/>
      <c r="H10" s="1004"/>
      <c r="I10" s="1675"/>
      <c r="J10" s="1675"/>
      <c r="K10" s="1654"/>
      <c r="L10" s="1654"/>
      <c r="M10" s="1652"/>
      <c r="N10" s="1652"/>
      <c r="O10" s="1650"/>
      <c r="P10" s="1650"/>
      <c r="Q10" s="1665" t="s">
        <v>1029</v>
      </c>
      <c r="R10" s="1665"/>
      <c r="S10" s="1665"/>
      <c r="T10" s="1677" t="s">
        <v>1030</v>
      </c>
      <c r="U10" s="1650" t="s">
        <v>519</v>
      </c>
      <c r="V10" s="1645"/>
      <c r="W10" s="1645"/>
      <c r="X10" s="1645"/>
      <c r="Y10" s="1667"/>
      <c r="Z10" s="1645" t="s">
        <v>547</v>
      </c>
      <c r="AA10" s="1667" t="s">
        <v>1031</v>
      </c>
      <c r="AB10" s="1667" t="s">
        <v>549</v>
      </c>
      <c r="AC10" s="1645"/>
      <c r="AD10" s="1645"/>
      <c r="AE10" s="1682"/>
      <c r="AF10" s="1678"/>
      <c r="AG10" s="1678"/>
      <c r="AH10" s="1678"/>
      <c r="AI10" s="1680"/>
      <c r="AJ10" s="1680"/>
      <c r="AK10" s="1664"/>
      <c r="AL10" s="1689"/>
      <c r="AM10" s="1656"/>
      <c r="AN10" s="1656"/>
      <c r="AO10" s="1656"/>
      <c r="AP10" s="1656"/>
      <c r="AQ10" s="1656"/>
      <c r="AR10" s="1656"/>
      <c r="AS10" s="1702"/>
      <c r="AT10" s="1703"/>
      <c r="AU10" s="1692"/>
      <c r="AV10" s="1693"/>
      <c r="AW10" s="1656"/>
      <c r="AX10" s="1656"/>
      <c r="AY10" s="1656"/>
      <c r="AZ10" s="1656"/>
      <c r="BA10" s="1656"/>
      <c r="BB10" s="1656"/>
      <c r="BC10" s="1656"/>
      <c r="BD10" s="1656"/>
      <c r="BE10" s="1738"/>
      <c r="BF10" s="1656"/>
      <c r="BG10" s="1656"/>
      <c r="BH10" s="1656"/>
      <c r="BI10" s="608"/>
      <c r="BJ10" s="608"/>
      <c r="BK10" s="608"/>
      <c r="BL10" s="608"/>
      <c r="BM10" s="608"/>
      <c r="BN10" s="609"/>
      <c r="BO10" s="605"/>
      <c r="BP10" s="629" t="s">
        <v>550</v>
      </c>
      <c r="BQ10" s="630" t="s">
        <v>551</v>
      </c>
      <c r="BR10" s="1733"/>
      <c r="BS10" s="1733"/>
      <c r="BT10" s="1733"/>
      <c r="BU10" s="1733"/>
      <c r="BV10" s="1733"/>
      <c r="BW10" s="1733"/>
      <c r="BX10" s="1733"/>
      <c r="BY10" s="1733"/>
      <c r="BZ10" s="1733"/>
      <c r="CA10" s="1733"/>
      <c r="CB10" s="1733"/>
      <c r="CC10" s="1733"/>
      <c r="CH10" s="554"/>
    </row>
    <row r="11" spans="2:86" ht="23.25" customHeight="1" x14ac:dyDescent="0.25">
      <c r="B11" s="787"/>
      <c r="C11" s="1643"/>
      <c r="D11" s="1654"/>
      <c r="E11" s="1654" t="s">
        <v>1032</v>
      </c>
      <c r="F11" s="1654" t="s">
        <v>1033</v>
      </c>
      <c r="G11" s="1650"/>
      <c r="H11" s="1004"/>
      <c r="I11" s="1675"/>
      <c r="J11" s="1675"/>
      <c r="K11" s="1650" t="s">
        <v>552</v>
      </c>
      <c r="L11" s="1650" t="s">
        <v>1034</v>
      </c>
      <c r="M11" s="1652"/>
      <c r="N11" s="1652"/>
      <c r="O11" s="1650"/>
      <c r="P11" s="1650"/>
      <c r="Q11" s="1665" t="s">
        <v>1035</v>
      </c>
      <c r="R11" s="1665"/>
      <c r="S11" s="1665"/>
      <c r="T11" s="1677"/>
      <c r="U11" s="1650"/>
      <c r="V11" s="1645"/>
      <c r="W11" s="1645"/>
      <c r="X11" s="1645"/>
      <c r="Y11" s="1667"/>
      <c r="Z11" s="1645"/>
      <c r="AA11" s="1667"/>
      <c r="AB11" s="1667"/>
      <c r="AC11" s="1645"/>
      <c r="AD11" s="1645"/>
      <c r="AE11" s="1682"/>
      <c r="AF11" s="1678"/>
      <c r="AG11" s="1678"/>
      <c r="AH11" s="1678"/>
      <c r="AI11" s="1680"/>
      <c r="AJ11" s="1680"/>
      <c r="AK11" s="1664"/>
      <c r="AL11" s="1689"/>
      <c r="AM11" s="1656"/>
      <c r="AN11" s="1656"/>
      <c r="AO11" s="1656"/>
      <c r="AP11" s="1656"/>
      <c r="AQ11" s="1656"/>
      <c r="AR11" s="1656"/>
      <c r="AS11" s="1694" t="s">
        <v>556</v>
      </c>
      <c r="AT11" s="1695"/>
      <c r="AU11" s="1694" t="s">
        <v>557</v>
      </c>
      <c r="AV11" s="1695"/>
      <c r="AW11" s="1656"/>
      <c r="AX11" s="1656"/>
      <c r="AY11" s="1656"/>
      <c r="AZ11" s="1656"/>
      <c r="BA11" s="1656"/>
      <c r="BB11" s="1656"/>
      <c r="BC11" s="1656"/>
      <c r="BD11" s="1656"/>
      <c r="BE11" s="1738"/>
      <c r="BF11" s="1656"/>
      <c r="BG11" s="1656"/>
      <c r="BH11" s="1656"/>
      <c r="BI11" s="1734" t="s">
        <v>547</v>
      </c>
      <c r="BJ11" s="1712" t="s">
        <v>558</v>
      </c>
      <c r="BK11" s="1712" t="s">
        <v>559</v>
      </c>
      <c r="BL11" s="1712" t="s">
        <v>560</v>
      </c>
      <c r="BM11" s="1712" t="s">
        <v>561</v>
      </c>
      <c r="BN11" s="1712" t="s">
        <v>1036</v>
      </c>
      <c r="BO11" s="631"/>
      <c r="BP11" s="1722" t="s">
        <v>1037</v>
      </c>
      <c r="BQ11" s="610" t="s">
        <v>564</v>
      </c>
      <c r="BR11" s="1726"/>
      <c r="BS11" s="632"/>
      <c r="BT11" s="633"/>
      <c r="BU11" s="1719" t="s">
        <v>1038</v>
      </c>
      <c r="BV11" s="1719" t="s">
        <v>1038</v>
      </c>
      <c r="BW11" s="1730" t="s">
        <v>567</v>
      </c>
      <c r="BX11" s="1718" t="s">
        <v>549</v>
      </c>
      <c r="BY11" s="1718"/>
      <c r="BZ11" s="1718"/>
      <c r="CA11" s="1709" t="s">
        <v>1039</v>
      </c>
      <c r="CB11" s="1709" t="s">
        <v>1040</v>
      </c>
      <c r="CC11" s="1709" t="s">
        <v>1041</v>
      </c>
      <c r="CD11" s="1709" t="s">
        <v>1042</v>
      </c>
    </row>
    <row r="12" spans="2:86" ht="45.6" customHeight="1" x14ac:dyDescent="0.25">
      <c r="B12" s="787"/>
      <c r="C12" s="1643"/>
      <c r="D12" s="1654"/>
      <c r="E12" s="1654"/>
      <c r="F12" s="1654"/>
      <c r="G12" s="1650"/>
      <c r="H12" s="1004"/>
      <c r="I12" s="1675"/>
      <c r="J12" s="1675"/>
      <c r="K12" s="1650"/>
      <c r="L12" s="1650"/>
      <c r="M12" s="1652"/>
      <c r="N12" s="1652"/>
      <c r="O12" s="1650"/>
      <c r="P12" s="1650"/>
      <c r="Q12" s="1665" t="s">
        <v>1043</v>
      </c>
      <c r="R12" s="1665" t="s">
        <v>1044</v>
      </c>
      <c r="S12" s="1665" t="s">
        <v>1045</v>
      </c>
      <c r="T12" s="1677"/>
      <c r="U12" s="1650"/>
      <c r="V12" s="1645"/>
      <c r="W12" s="1645"/>
      <c r="X12" s="1645"/>
      <c r="Y12" s="1667"/>
      <c r="Z12" s="1645"/>
      <c r="AA12" s="1667"/>
      <c r="AB12" s="1667"/>
      <c r="AC12" s="1673" t="s">
        <v>572</v>
      </c>
      <c r="AD12" s="1667" t="s">
        <v>549</v>
      </c>
      <c r="AE12" s="1682"/>
      <c r="AF12" s="1678"/>
      <c r="AG12" s="1678"/>
      <c r="AH12" s="1678"/>
      <c r="AI12" s="1680"/>
      <c r="AJ12" s="1680"/>
      <c r="AK12" s="1664"/>
      <c r="AL12" s="1689"/>
      <c r="AM12" s="1656"/>
      <c r="AN12" s="1656"/>
      <c r="AO12" s="1656"/>
      <c r="AP12" s="1656"/>
      <c r="AQ12" s="1656"/>
      <c r="AR12" s="1656"/>
      <c r="AS12" s="1704"/>
      <c r="AT12" s="1697"/>
      <c r="AU12" s="1696"/>
      <c r="AV12" s="1697"/>
      <c r="AW12" s="1656"/>
      <c r="AX12" s="1656"/>
      <c r="AY12" s="1656"/>
      <c r="AZ12" s="1656"/>
      <c r="BA12" s="1656"/>
      <c r="BB12" s="1656"/>
      <c r="BC12" s="1656"/>
      <c r="BD12" s="1656"/>
      <c r="BE12" s="1738"/>
      <c r="BF12" s="1656"/>
      <c r="BG12" s="1656"/>
      <c r="BH12" s="1656"/>
      <c r="BI12" s="1735"/>
      <c r="BJ12" s="1713"/>
      <c r="BK12" s="1713"/>
      <c r="BL12" s="1713"/>
      <c r="BM12" s="1713"/>
      <c r="BN12" s="1713"/>
      <c r="BO12" s="1713" t="s">
        <v>549</v>
      </c>
      <c r="BP12" s="1723"/>
      <c r="BQ12" s="612">
        <v>0.03</v>
      </c>
      <c r="BR12" s="1726"/>
      <c r="BT12" s="634"/>
      <c r="BU12" s="1720"/>
      <c r="BV12" s="1720"/>
      <c r="BW12" s="1731"/>
      <c r="BX12" s="1718"/>
      <c r="BY12" s="1718"/>
      <c r="BZ12" s="1718"/>
      <c r="CA12" s="1710"/>
      <c r="CB12" s="1710"/>
      <c r="CC12" s="1710"/>
      <c r="CD12" s="1710"/>
    </row>
    <row r="13" spans="2:86" ht="47.25" customHeight="1" x14ac:dyDescent="0.25">
      <c r="B13" s="787"/>
      <c r="C13" s="1643"/>
      <c r="D13" s="1654"/>
      <c r="E13" s="1654"/>
      <c r="F13" s="1654"/>
      <c r="G13" s="1650"/>
      <c r="H13" s="1004"/>
      <c r="I13" s="1675"/>
      <c r="J13" s="1675"/>
      <c r="K13" s="1650"/>
      <c r="L13" s="1650"/>
      <c r="M13" s="1652"/>
      <c r="N13" s="1652"/>
      <c r="O13" s="1650"/>
      <c r="P13" s="1650"/>
      <c r="Q13" s="1665"/>
      <c r="R13" s="1665"/>
      <c r="S13" s="1665"/>
      <c r="T13" s="1677"/>
      <c r="U13" s="1650"/>
      <c r="V13" s="1645"/>
      <c r="W13" s="1645"/>
      <c r="X13" s="1645"/>
      <c r="Y13" s="1667"/>
      <c r="Z13" s="1645"/>
      <c r="AA13" s="1667"/>
      <c r="AB13" s="1667"/>
      <c r="AC13" s="1673"/>
      <c r="AD13" s="1667"/>
      <c r="AE13" s="1682"/>
      <c r="AF13" s="1678"/>
      <c r="AG13" s="1678"/>
      <c r="AH13" s="1678"/>
      <c r="AI13" s="1680"/>
      <c r="AJ13" s="1680"/>
      <c r="AK13" s="1664"/>
      <c r="AL13" s="1689"/>
      <c r="AM13" s="1656"/>
      <c r="AN13" s="1656"/>
      <c r="AO13" s="1656"/>
      <c r="AP13" s="1656"/>
      <c r="AQ13" s="1656"/>
      <c r="AR13" s="1707"/>
      <c r="AS13" s="1688" t="s">
        <v>574</v>
      </c>
      <c r="AT13" s="1705" t="s">
        <v>575</v>
      </c>
      <c r="AU13" s="1698" t="s">
        <v>576</v>
      </c>
      <c r="AV13" s="1700" t="s">
        <v>1046</v>
      </c>
      <c r="AW13" s="1656"/>
      <c r="AX13" s="1656"/>
      <c r="AY13" s="1656"/>
      <c r="AZ13" s="1656"/>
      <c r="BA13" s="1656"/>
      <c r="BB13" s="1656"/>
      <c r="BC13" s="1656"/>
      <c r="BD13" s="1656"/>
      <c r="BE13" s="1738"/>
      <c r="BF13" s="1656"/>
      <c r="BG13" s="1656"/>
      <c r="BH13" s="1656"/>
      <c r="BI13" s="1728" t="s">
        <v>1047</v>
      </c>
      <c r="BJ13" s="1713"/>
      <c r="BK13" s="1713"/>
      <c r="BL13" s="1713"/>
      <c r="BM13" s="1713"/>
      <c r="BN13" s="1713"/>
      <c r="BO13" s="1713"/>
      <c r="BP13" s="1723"/>
      <c r="BQ13" s="1724" t="s">
        <v>1048</v>
      </c>
      <c r="BR13" s="1721" t="s">
        <v>1049</v>
      </c>
      <c r="BS13" s="1717" t="s">
        <v>565</v>
      </c>
      <c r="BT13" s="635"/>
      <c r="BU13" s="611" t="s">
        <v>566</v>
      </c>
      <c r="BV13" s="611" t="s">
        <v>566</v>
      </c>
      <c r="BW13" s="1715" t="s">
        <v>579</v>
      </c>
      <c r="BX13" s="1712" t="s">
        <v>536</v>
      </c>
      <c r="BY13" s="1712" t="s">
        <v>1050</v>
      </c>
      <c r="BZ13" s="1712" t="s">
        <v>581</v>
      </c>
      <c r="CA13" s="1710"/>
      <c r="CB13" s="1710"/>
      <c r="CC13" s="1710"/>
      <c r="CD13" s="1711"/>
    </row>
    <row r="14" spans="2:86" ht="22.65" customHeight="1" thickBot="1" x14ac:dyDescent="0.3">
      <c r="B14" s="810">
        <f>+COUNTIF($CD$15:CD496,2)</f>
        <v>9</v>
      </c>
      <c r="C14" s="1644"/>
      <c r="D14" s="1666"/>
      <c r="E14" s="1666"/>
      <c r="F14" s="1666"/>
      <c r="G14" s="1007" t="s">
        <v>582</v>
      </c>
      <c r="H14" s="1008"/>
      <c r="I14" s="1676"/>
      <c r="J14" s="1676"/>
      <c r="K14" s="1007" t="s">
        <v>1051</v>
      </c>
      <c r="L14" s="1651"/>
      <c r="M14" s="1653"/>
      <c r="N14" s="1653"/>
      <c r="O14" s="1007" t="s">
        <v>584</v>
      </c>
      <c r="P14" s="1007" t="s">
        <v>584</v>
      </c>
      <c r="Q14" s="1009" t="s">
        <v>584</v>
      </c>
      <c r="R14" s="1009" t="s">
        <v>584</v>
      </c>
      <c r="S14" s="1009" t="s">
        <v>584</v>
      </c>
      <c r="T14" s="1009" t="s">
        <v>585</v>
      </c>
      <c r="U14" s="1651"/>
      <c r="V14" s="1646"/>
      <c r="W14" s="1646"/>
      <c r="X14" s="1646"/>
      <c r="Y14" s="1009" t="s">
        <v>584</v>
      </c>
      <c r="Z14" s="1646"/>
      <c r="AA14" s="1672"/>
      <c r="AB14" s="1672"/>
      <c r="AC14" s="1674"/>
      <c r="AD14" s="1672"/>
      <c r="AE14" s="1009" t="s">
        <v>584</v>
      </c>
      <c r="AF14" s="1010">
        <v>0.03</v>
      </c>
      <c r="AG14" s="1010">
        <v>0.05</v>
      </c>
      <c r="AH14" s="1679"/>
      <c r="AI14" s="1681"/>
      <c r="AJ14" s="1681"/>
      <c r="AK14" s="811" t="s">
        <v>585</v>
      </c>
      <c r="AL14" s="802" t="s">
        <v>585</v>
      </c>
      <c r="AM14" s="1657"/>
      <c r="AN14" s="1657"/>
      <c r="AO14" s="1657"/>
      <c r="AP14" s="1657"/>
      <c r="AQ14" s="1657"/>
      <c r="AR14" s="1708"/>
      <c r="AS14" s="1688"/>
      <c r="AT14" s="1706"/>
      <c r="AU14" s="1699"/>
      <c r="AV14" s="1701"/>
      <c r="AW14" s="1657"/>
      <c r="AX14" s="663" t="s">
        <v>586</v>
      </c>
      <c r="AY14" s="1657"/>
      <c r="AZ14" s="1657"/>
      <c r="BA14" s="1657"/>
      <c r="BB14" s="1657"/>
      <c r="BC14" s="1657"/>
      <c r="BD14" s="1657"/>
      <c r="BE14" s="663" t="s">
        <v>584</v>
      </c>
      <c r="BF14" s="1657"/>
      <c r="BG14" s="1657"/>
      <c r="BH14" s="1657"/>
      <c r="BI14" s="1729"/>
      <c r="BJ14" s="1714"/>
      <c r="BK14" s="1714"/>
      <c r="BL14" s="1714"/>
      <c r="BM14" s="1714"/>
      <c r="BN14" s="1714"/>
      <c r="BO14" s="1714"/>
      <c r="BP14" s="1723"/>
      <c r="BQ14" s="1725"/>
      <c r="BR14" s="1721"/>
      <c r="BS14" s="1716"/>
      <c r="BT14" s="636"/>
      <c r="BU14" s="637" t="s">
        <v>573</v>
      </c>
      <c r="BV14" s="637" t="s">
        <v>573</v>
      </c>
      <c r="BW14" s="1716"/>
      <c r="BX14" s="1714"/>
      <c r="BY14" s="1714"/>
      <c r="BZ14" s="1714"/>
      <c r="CA14" s="1711"/>
      <c r="CB14" s="1711"/>
      <c r="CC14" s="1711"/>
      <c r="CD14" s="613" t="s">
        <v>587</v>
      </c>
    </row>
    <row r="15" spans="2:86" ht="27.75" customHeight="1" thickBot="1" x14ac:dyDescent="0.3">
      <c r="B15" s="338">
        <f>+IF(OR(CD15=0,CD15=1),0,COUNTIF(CD$15:CD15,CD15))</f>
        <v>0</v>
      </c>
      <c r="C15" s="1003">
        <v>2</v>
      </c>
      <c r="D15" s="1669" t="s">
        <v>1052</v>
      </c>
      <c r="E15" s="1669"/>
      <c r="F15" s="1669"/>
      <c r="G15" s="1669"/>
      <c r="H15" s="1669"/>
      <c r="I15" s="1669"/>
      <c r="J15" s="1669"/>
      <c r="K15" s="1669"/>
      <c r="L15" s="1669"/>
      <c r="M15" s="1669"/>
      <c r="N15" s="1669"/>
      <c r="O15" s="1669"/>
      <c r="P15" s="1669"/>
      <c r="Q15" s="1669"/>
      <c r="R15" s="1669"/>
      <c r="S15" s="1669"/>
      <c r="T15" s="1669"/>
      <c r="U15" s="1669"/>
      <c r="V15" s="1669"/>
      <c r="W15" s="1669"/>
      <c r="X15" s="1669"/>
      <c r="Y15" s="1669"/>
      <c r="Z15" s="1669"/>
      <c r="AA15" s="1669"/>
      <c r="AB15" s="1669"/>
      <c r="AC15" s="1669"/>
      <c r="AD15" s="1669"/>
      <c r="AE15" s="1669"/>
      <c r="AF15" s="1669"/>
      <c r="AG15" s="1669"/>
      <c r="AH15" s="1669"/>
      <c r="AI15" s="1669"/>
      <c r="AJ15" s="1669"/>
      <c r="AK15" s="1662" t="s">
        <v>590</v>
      </c>
      <c r="AL15" s="1660" t="s">
        <v>590</v>
      </c>
      <c r="AM15" s="557"/>
      <c r="AN15" s="546"/>
      <c r="AO15" s="558" t="s">
        <v>590</v>
      </c>
      <c r="AP15" s="546"/>
      <c r="AQ15" s="343"/>
      <c r="AR15" s="548"/>
      <c r="AS15" s="546"/>
      <c r="AT15" s="546"/>
      <c r="AU15" s="546"/>
      <c r="AV15" s="546"/>
      <c r="AW15" s="559" t="s">
        <v>590</v>
      </c>
      <c r="AX15" s="546"/>
      <c r="AY15" s="546"/>
      <c r="AZ15" s="558" t="s">
        <v>590</v>
      </c>
      <c r="BA15" s="1658" t="s">
        <v>590</v>
      </c>
      <c r="BB15" s="1659"/>
      <c r="BC15" s="560"/>
      <c r="BD15" s="560"/>
      <c r="BE15" s="560"/>
      <c r="BF15" s="561"/>
      <c r="BG15" s="546"/>
      <c r="BH15" s="343"/>
      <c r="BI15" s="614"/>
      <c r="BJ15" s="614"/>
      <c r="BK15" s="614"/>
      <c r="BL15" s="614"/>
      <c r="BM15" s="614"/>
      <c r="BN15" s="614"/>
      <c r="BO15" s="638"/>
      <c r="BP15" s="614"/>
      <c r="BQ15" s="614"/>
      <c r="BR15" s="1727"/>
      <c r="BS15" s="1727"/>
      <c r="BT15" s="1727"/>
      <c r="BU15" s="1727"/>
      <c r="BV15" s="1727"/>
      <c r="BW15" s="1727"/>
      <c r="BX15" s="639"/>
      <c r="CD15" s="616">
        <f>LEN(C15)-LEN(SUBSTITUTE(C15,IF(ISNUMBER(FIND(".",C15)),".",","),""))</f>
        <v>0</v>
      </c>
    </row>
    <row r="16" spans="2:86" ht="20.25" customHeight="1" thickBot="1" x14ac:dyDescent="0.3">
      <c r="B16" s="338">
        <f>+IF(OR(CD16=0,CD16=1),0,COUNTIF(CC$15:CC16,CD16))</f>
        <v>0</v>
      </c>
      <c r="C16" s="1670"/>
      <c r="D16" s="1670"/>
      <c r="E16" s="1670"/>
      <c r="F16" s="1670"/>
      <c r="G16" s="1670"/>
      <c r="H16" s="1670"/>
      <c r="I16" s="1670"/>
      <c r="J16" s="1670"/>
      <c r="K16" s="1670"/>
      <c r="L16" s="1670"/>
      <c r="M16" s="1670"/>
      <c r="N16" s="1670"/>
      <c r="O16" s="1670"/>
      <c r="P16" s="1670"/>
      <c r="Q16" s="1670"/>
      <c r="R16" s="1670"/>
      <c r="S16" s="1670"/>
      <c r="T16" s="1670"/>
      <c r="U16" s="1670"/>
      <c r="V16" s="1670"/>
      <c r="W16" s="1670"/>
      <c r="X16" s="1670"/>
      <c r="Y16" s="1670"/>
      <c r="Z16" s="1670"/>
      <c r="AA16" s="1670"/>
      <c r="AB16" s="1670"/>
      <c r="AC16" s="1670"/>
      <c r="AD16" s="1670"/>
      <c r="AE16" s="1670"/>
      <c r="AF16" s="1670"/>
      <c r="AG16" s="1670"/>
      <c r="AH16" s="1670"/>
      <c r="AI16" s="1670"/>
      <c r="AJ16" s="1670"/>
      <c r="AK16" s="1663"/>
      <c r="AL16" s="1661"/>
      <c r="AM16" s="562"/>
      <c r="AN16" s="546"/>
      <c r="AO16" s="546"/>
      <c r="AP16" s="546"/>
      <c r="AQ16" s="546"/>
      <c r="AR16" s="546"/>
      <c r="AS16" s="546"/>
      <c r="AT16" s="546"/>
      <c r="AU16" s="546"/>
      <c r="AV16" s="546"/>
      <c r="AW16" s="546"/>
      <c r="AX16" s="546"/>
      <c r="AY16" s="546"/>
      <c r="AZ16" s="546"/>
      <c r="BA16" s="546"/>
      <c r="BB16" s="546"/>
      <c r="BC16" s="546"/>
      <c r="BD16" s="546"/>
      <c r="BE16" s="546"/>
      <c r="BF16" s="561"/>
      <c r="BG16" s="546"/>
      <c r="BH16" s="343"/>
      <c r="BI16" s="617"/>
      <c r="BJ16" s="617"/>
      <c r="BK16" s="617"/>
      <c r="BL16" s="617"/>
      <c r="BM16" s="617"/>
      <c r="BN16" s="617"/>
      <c r="BO16" s="617"/>
      <c r="BP16" s="640"/>
      <c r="BQ16" s="640"/>
      <c r="BR16" s="640"/>
      <c r="BS16" s="622"/>
      <c r="BT16" s="640"/>
      <c r="BU16" s="1647"/>
      <c r="BV16" s="1648"/>
      <c r="BW16" s="1648"/>
      <c r="BX16" s="1649"/>
      <c r="BY16" s="615"/>
      <c r="BZ16" s="615"/>
      <c r="CD16" s="616">
        <f>LEN(C16)-LEN(SUBSTITUTE(C16,IF(ISNUMBER(FIND(".",C16)),".",","),""))</f>
        <v>0</v>
      </c>
    </row>
    <row r="17" spans="2:82" ht="20.25" customHeight="1" thickBot="1" x14ac:dyDescent="0.3">
      <c r="B17" s="338">
        <f>+IF(OR(CD17=0,CD17=1),0,COUNTIF(CF$15:CF17,CD17))</f>
        <v>0</v>
      </c>
      <c r="C17" s="1003" t="s">
        <v>1053</v>
      </c>
      <c r="D17" s="1671" t="s">
        <v>1054</v>
      </c>
      <c r="E17" s="1671"/>
      <c r="F17" s="1671"/>
      <c r="G17" s="1671"/>
      <c r="H17" s="1671"/>
      <c r="I17" s="1671"/>
      <c r="J17" s="1671"/>
      <c r="K17" s="1671"/>
      <c r="L17" s="1671"/>
      <c r="M17" s="1671"/>
      <c r="N17" s="1671"/>
      <c r="O17" s="1671"/>
      <c r="P17" s="1671"/>
      <c r="Q17" s="1671"/>
      <c r="R17" s="1671"/>
      <c r="S17" s="1671"/>
      <c r="T17" s="1671"/>
      <c r="U17" s="1671"/>
      <c r="V17" s="1671"/>
      <c r="W17" s="1671"/>
      <c r="X17" s="1671"/>
      <c r="Y17" s="1671"/>
      <c r="Z17" s="1671"/>
      <c r="AA17" s="1671"/>
      <c r="AB17" s="1671"/>
      <c r="AC17" s="1671"/>
      <c r="AD17" s="1671"/>
      <c r="AE17" s="1671"/>
      <c r="AF17" s="1671"/>
      <c r="AG17" s="1671"/>
      <c r="AH17" s="1671"/>
      <c r="AI17" s="1671"/>
      <c r="AJ17" s="1671"/>
      <c r="AK17" s="803"/>
      <c r="AL17" s="804"/>
      <c r="AM17" s="563"/>
      <c r="AN17" s="546"/>
      <c r="AO17" s="546"/>
      <c r="AP17" s="546"/>
      <c r="AQ17" s="546"/>
      <c r="AR17" s="548"/>
      <c r="AS17" s="546"/>
      <c r="AT17" s="546"/>
      <c r="AU17" s="546"/>
      <c r="AV17" s="546"/>
      <c r="AW17" s="546"/>
      <c r="AX17" s="546"/>
      <c r="AY17" s="546"/>
      <c r="AZ17" s="546"/>
      <c r="BA17" s="546"/>
      <c r="BB17" s="546"/>
      <c r="BC17" s="564"/>
      <c r="BD17" s="564"/>
      <c r="BE17" s="564"/>
      <c r="BF17" s="564"/>
      <c r="BG17" s="564"/>
      <c r="BH17" s="546"/>
      <c r="BI17" s="617"/>
      <c r="BJ17" s="617"/>
      <c r="BK17" s="617"/>
      <c r="BL17" s="617"/>
      <c r="BM17" s="617"/>
      <c r="BN17" s="617"/>
      <c r="BO17" s="617"/>
      <c r="BP17" s="617"/>
      <c r="BQ17" s="617"/>
      <c r="BR17" s="640"/>
      <c r="BS17" s="640"/>
      <c r="BT17" s="640"/>
      <c r="BU17" s="622"/>
      <c r="BV17" s="622"/>
      <c r="BW17" s="640"/>
      <c r="BX17" s="1647"/>
      <c r="BY17" s="1648"/>
      <c r="BZ17" s="1649"/>
      <c r="CD17" s="616">
        <v>1</v>
      </c>
    </row>
    <row r="18" spans="2:82" ht="44.4" customHeight="1" x14ac:dyDescent="0.25">
      <c r="B18" s="338">
        <f>+IF(OR(CD18=0,CD18=1),0,COUNTIF(CD$15:CD18,CD18))</f>
        <v>1</v>
      </c>
      <c r="C18" s="819" t="str">
        <f>+_xlfn.CONCAT($C$17,".",SUBTOTAL(103,$D$18:D18))</f>
        <v>2.1.1</v>
      </c>
      <c r="D18" s="820" t="str">
        <f>+Longitudes!C10</f>
        <v>TBT08</v>
      </c>
      <c r="E18" s="821" t="s">
        <v>1996</v>
      </c>
      <c r="F18" s="1040" t="str">
        <f>+Longitudes!B10</f>
        <v>SDT-8</v>
      </c>
      <c r="G18" s="1311">
        <v>13</v>
      </c>
      <c r="H18" s="822"/>
      <c r="I18" s="1311">
        <f>+'CÁLCULO CONDUCTORES DE MT'!H18</f>
        <v>225</v>
      </c>
      <c r="J18" s="823" t="s">
        <v>595</v>
      </c>
      <c r="K18" s="819">
        <v>480</v>
      </c>
      <c r="L18" s="819">
        <v>3</v>
      </c>
      <c r="M18" s="824">
        <f>+'H1-CUADRO DE CARGAS'!$U$20</f>
        <v>0.80830156595608427</v>
      </c>
      <c r="N18" s="824">
        <f>'CÁLCULO CONDUCTORES DE MT'!M18</f>
        <v>0.98</v>
      </c>
      <c r="O18" s="1041">
        <f>(IF(L18=1,IF(J18="HP",(I18*746)/(K18*M18),IF(J18="kVA",I18*1000/K18,IF(J18="kW",I18*1000/(K18*M18),""))),IF(L18=3,IF(J18="HP",IF(OR(K18=4160,K18=34500),((I18*0.746)/M18)*1000/(SQRT(3)*K18*N18),IF(AND(K18&lt;=480,K18&gt;=440),VLOOKUP(I18,'I Plena Carga'!$C$3:$I$29,7),IF(AND(K18&lt;=240,K18&gt;=220),VLOOKUP(I18,'I Plena Carga'!$C$3:$G$29,5),IF(K18=208,VLOOKUP(I18,'I Plena Carga'!$C$3:$F$29,4),IF(AND(K18&lt;=127,K18&gt;=110),VLOOKUP(I18,'I Plena Carga'!$C$3:$D$29,2),""))))),IF(J18="kVA",I18*1000/(SQRT(3)*K18),IF(J18="kW",I18*1000/(SQRT(3)*K18*M18),""))),IF(L18=2,IF(J18="HP",(I18*746)/(K18*M18),IF(J18="kVA",I18*1000/(K18),IF(J18="kW",I18*1000/(K18*M18),""))),"Rev.#Fases"))))*(SQRT(1+((AX18/100)^2)))</f>
        <v>270.97101868788485</v>
      </c>
      <c r="P18" s="1042" t="str">
        <f>IF(OR(AW18="Motor",AW18="Motor Alimentado de VFD"),(IF($P$9="CORRIENTE DE ARRANQUE DIRECTO (MOTORES)",O18*8,IF($P$9="CORRIENTE DE ARRANCADOR SUAVE (MOTORES)",O18*3,IF($P$9="CORRIENTE DE ARRANQUE  Δ-Y (MOTORES)",O18*6,IF($P$9="CORRIENTE DE ARRANQUE CON VARIADOR (MOTORES)",O18*2,O18))))),"N/A")</f>
        <v>N/A</v>
      </c>
      <c r="Q18" s="1043">
        <f>O18*1.2</f>
        <v>325.16522242546182</v>
      </c>
      <c r="R18" s="1047">
        <f t="shared" ref="R18:R19" si="0">IF(OR(MID(D18,1,1)="J"),"N/A",S18)</f>
        <v>350</v>
      </c>
      <c r="S18" s="1043">
        <f>(IF((IF(OR(AW18="Trafo Primario",AW18="Trafo Primario - Secundario",AW18="Protección Tablero"),BS18,Q18))&lt;CONDUCTORES!$E$111,CONDUCTORES!$E$111,IF((IF(OR(AW18="Trafo Primario",AW18="Trafo Primario - Secundario",AW18="Protección Tablero"),BS18,Q18))&lt;CONDUCTORES!$E$112,CONDUCTORES!$E$112,IF((IF(OR(AW18="Trafo Primario",AW18="Trafo Primario - Secundario",AW18="Protección Tablero"),BS18,Q18))&lt;CONDUCTORES!$E$113,CONDUCTORES!$E$113,IF((IF(OR(AW18="Trafo Primario",AW18="Trafo Primario - Secundario",AW18="Protección Tablero"),BS18,Q18))&lt;CONDUCTORES!$E$114,CONDUCTORES!$E$114,IF((IF(OR(AW18="Trafo Primario",AW18="Trafo Primario - Secundario",AW18="Protección Tablero"),BS18,Q18))&lt;CONDUCTORES!$E$115,CONDUCTORES!$E$115,IF((IF(OR(AW18="Trafo Primario",AW18="Trafo Primario - Secundario",AW18="Protección Tablero"),BS18,Q18))&lt;CONDUCTORES!$E$116,CONDUCTORES!$E$116,IF((IF(OR(AW18="Trafo Primario",AW18="Trafo Primario - Secundario",AW18="Protección Tablero"),BS18,Q18))&lt;CONDUCTORES!$E$117,CONDUCTORES!$E$117,IF((IF(OR(AW18="Trafo Primario",AW18="Trafo Primario - Secundario",AW18="Protección Tablero"),BS18,Q18))&lt;CONDUCTORES!$E$118,CONDUCTORES!$E$118,IF((IF(OR(AW18="Trafo Primario",AW18="Trafo Primario - Secundario",AW18="Protección Tablero"),BS18,Q18))&lt;CONDUCTORES!$E$119,CONDUCTORES!$E$119,IF((IF(OR(AW18="Trafo Primario",AW18="Trafo Primario - Secundario",AW18="Protección Tablero"),BS18,Q18))&lt;CONDUCTORES!$E$120,CONDUCTORES!$E$120,IF((IF(OR(AW18="Trafo Primario",AW18="Trafo Primario - Secundario",AW18="Protección Tablero"),BS18,Q18))&lt;CONDUCTORES!$E$121,CONDUCTORES!$E$121,IF((IF(AND(AW18="Trafo Primario",AW18="Trafo Primario - Secundario",AW18="Protección Tablero"),BS18,Q18))&lt;CONDUCTORES!$E$122,CONDUCTORES!$E$122,IF((IF(OR(AW18="Trafo Primario",AW18="Trafo Primario - Secundario",AW18="Protección Tablero"),BS18,Q18))&lt;CONDUCTORES!$E$123,CONDUCTORES!$E$123,IF((IF(OR(AW18="Trafo Primario",AW18="Trafo Primario - Secundario",AW18="Protección Tablero"),BS18,Q18))&lt;CONDUCTORES!$E$124,CONDUCTORES!$E$124,IF((IF(OR(AW18="Trafo Primario",AW18="Trafo Primario - Secundario",AW18="Protección Tablero"),BS18,Q18))&lt;CONDUCTORES!$E$125,CONDUCTORES!$E$125,IF((IF(OR(AW18="Trafo Primario",AW18="Trafo Primario - Secundario",AW18="Protección Tablero"),BS18,Q18))&lt;CONDUCTORES!$E$126,CONDUCTORES!$E$126,IF((IF(OR(AW18="Trafo Primario",AW18="Trafo Primario - Secundario",AW18="Protección Tablero"),BS18,Q18))&lt;CONDUCTORES!$E$127,CONDUCTORES!$E$127,IF((IF(OR(AW18="Trafo Primario",AW18="Trafo Primario - Secundario",AW18="Protección Tablero"),BS18,Q18))&lt;CONDUCTORES!$E$128,CONDUCTORES!$E$128,IF((IF(OR(AW18="Trafo Primario",AW18="Trafo Primario - Secundario",AW18="Protección Tablero"),BS18,Q18))&lt;CONDUCTORES!$E$129,CONDUCTORES!$E$129,IF((IF(OR(AW18="Trafo Primario",AW18="Trafo Primario - Secundario",AW18="Protección Tablero"),BS18,Q18))&lt;CONDUCTORES!$E$130,CONDUCTORES!$E$130,IF((IF(OR(AW18="Trafo Primario",AW18="Trafo Primario - Secundario",AW18="Protección Tablero"),BS18,Q18))&lt;CONDUCTORES!$E$131,CONDUCTORES!$E$131,IF((IF(OR(AW18="Trafo Primario",AW18="Trafo Primario - Secundario",AW18="Protección Tablero"),BS18,Q18))&lt;CONDUCTORES!$E$132,CONDUCTORES!$E$132,IF((IF(OR(AW18="Trafo Primario",AW18="Trafo Primario - Secundario",AW18="Protección Tablero"),BS18,Q18))&lt;CONDUCTORES!$E$133,CONDUCTORES!$E$133,IF((IF(OR(AW18="Trafo Primario",AW18="Trafo Primario - Secundario",AW18="Protección Tablero"),BS18,Q18))&lt;CONDUCTORES!$E$134,CONDUCTORES!$E$134,IF((IF(OR(AW18="Trafo Primario",AW18="Trafo Primario - Secundario",AW18="Protección Tablero"),BS18,Q18))&lt;CONDUCTORES!$E$135,CONDUCTORES!$E$135,IF((IF(OR(AW18="Trafo Primario",AW18="Trafo Primario - Secundario",AW18="Protección Tablero"),BS18,Q18))&lt;CONDUCTORES!$E$136,CONDUCTORES!$E$136,IF((IF(OR(AW18="Trafo Primario",AW18="Trafo Primario - Secundario",AW18="Protección Tablero"),BS18,Q18))&lt;CONDUCTORES!$E$137,CONDUCTORES!$E$137,IF((IF(OR(AW18="Trafo Primario",AW18="Trafo Primario - Secundario",AW18="Protección Tablero"),BS18,Q18))&lt;CONDUCTORES!$E$138,CONDUCTORES!$E$138,IF((IF(OR(AW18="Trafo Primario",AW18="Trafo Primario - Secundario",AW18="Protección Tablero"),BS18,Q18))&lt;CONDUCTORES!$E$139,CONDUCTORES!$E$139,IF((IF(OR(AW18="Trafo Primario",AW18="Trafo Primario - Secundario",AW18="Protección Tablero"),BS18,Q18))&lt;CONDUCTORES!$E$140,CONDUCTORES!$E$140,IF((IF(OR(AW18="Trafo Primario",AW18="Trafo Primario - Secundario",AW18="Protección Tablero"),BS18,Q18))&lt;CONDUCTORES!$E$141,CONDUCTORES!$E$141,IF((IF(OR(AW18="Trafo Primario",AW18="Trafo Primario - Secundario",AW18="Protección Tablero"),BS18,Q18))&lt;CONDUCTORES!$E$142,CONDUCTORES!$E$142,IF((IF(OR(AW18="Trafo Primario",AW18="Trafo Primario - Secundario",AW18="Protección Tablero"),BS18,Q18))&lt;CONDUCTORES!$E$143,CONDUCTORES!$E$143,IF((IF(OR(AW18="Trafo Primario",AW18="Trafo Primario - Secundario",AW18="Protección Tablero"),BS18,Q18))&lt;CONDUCTORES!$E$144,CONDUCTORES!$E$144,IF((IF(OR(AW18="Trafo Primario",AW18="Trafo Primario - Secundario",AW18="Protección Tablero"),BS18,Q18))&lt;CONDUCTORES!$E$145,CONDUCTORES!$E$145,IF((IF(OR(AW18="Trafo Primario",AW18="Trafo Primario - Secundario",AW18="Protección Tablero"),BS18,Q18))&lt;CONDUCTORES!$E$146,CONDUCTORES!$E$146,IF((IF(OR(AW18="Trafo Primario",AW18="Trafo Primario - Secundario",AW18="Protección Tablero"),BS18,Q18))&lt;CONDUCTORES!$E$147,CONDUCTORES!$E$147,IF((IF(OR(AW18="Trafo Primario",AW18="Trafo Primario - Secundario",AW18="Protección Tablero"),BS18,Q18))&lt;CONDUCTORES!$E$148,CONDUCTORES!$E$148,IF((IF(OR(AW18="Trafo Primario",AW18="Trafo Primario - Secundario",AW18="Protección Tablero"),BS18,Q18))&lt;CONDUCTORES!$E$149,CONDUCTORES!$E$149,))))))))))))))))))))))))))))))))))))))))</f>
        <v>350</v>
      </c>
      <c r="T18" s="1044">
        <f>IF(AZ18&lt;10,CONCATENATE(ROUND(((IF(L18=1,K18,K18/SQRT(3)))/((((VLOOKUP(AM18,CONDUCTORES!$L$83:$N$97,IF(AQ18="Al",2,3),FALSE))/(AN18))*(G18/1000))+(((VLOOKUP(IF(BB18="No",(IF(AQ18="Al",LOOKUP(S18,CONDUCTORES!$A$111:$A$131,CONDUCTORES!$C$111:$C$131),LOOKUP(S18,CONDUCTORES!$A$111:$A$131,CONDUCTORES!$B$111:$B$131))),BB18),CONDUCTORES!$L$83:$N$97,IF(AQ18="Al",2,3),FALSE))/IF(BB18="No",1,BA18))*(G18/1000))))/1000,2)," &lt; 10*Inp"),((IF(L18=1,K18,K18/SQRT(3)))/((((VLOOKUP(AM18,CONDUCTORES!$L$83:$N$97,IF(AQ18="Al",2,3),FALSE))/(AN18))*(G18/1000))+(((VLOOKUP(IF(BB18="No",(IF(AQ18="Al",LOOKUP(S18,CONDUCTORES!$A$111:$A$131,CONDUCTORES!$C$111:$C$131),LOOKUP(S18,CONDUCTORES!$A$111:$A$131,CONDUCTORES!$B$111:$B$131))),BB18),CONDUCTORES!$L$83:$N$97,IF(AQ18="Al",2,3),FALSE))/IF(BB18="No",1,BA18))*(G18/1000))))/1000)</f>
        <v>41.284755034042</v>
      </c>
      <c r="U18" s="824">
        <v>0.02</v>
      </c>
      <c r="V18" s="1055" t="str">
        <f t="shared" ref="V18:V19" si="1">IF(AZ18&lt;10,"AJUSTAR CONDUCTOR DE RETORNO DE TIERRA",IF(AQ18="Al",CONCATENATE("ALUMINIO, ",AR18,","," ",IF(K18=34500,"133%, 35 kV","600 V"),", 90°C, ",IF(AW18="Motor Alimentado de VFD","Cable de VFD",IF(AW18="Motor",AO18,IF(Z18="AÉREO","Cable Autosoportado Con Neutro En ACSR",AO18)))),CONCATENATE("COBRE, ",AR18,","," ",IF(K18=34500,"133%, 35 kV","600 V"),", 90°C, ",IF(AW18="Motor Alimentado de VFD","Cable de VFD",IF(AW18="Motor",AO18,AO18)))))</f>
        <v>ALUMINIO, XHHW-2, 600 V, 90°C, Monopolar</v>
      </c>
      <c r="W18" s="1055" t="str">
        <f>IF(Z18="AÉREO",CONCATENATE(AN18,"x[3x(1x",AM18,")] + ",AN18,"x(1Nx",(VLOOKUP(BU18,CONDUCTORES!$A$156:$Y$161,25,FALSE))," AWG)"),IF(AND(AO18="Multiconductor",AY18="SI"),(CONCATENATE(AN18,"x(",IF(AO18="Monopolar",L18,IF(AW18="Motor Alimentado de VFD",3,MID(AP18,1,1))),"x",AM18,IF(AW18="Motor Alimentado de VFD",,")")," + ",IF(BD18="No","",CONCATENATE(" ",AN18,"x(",BC18,"Nx",BD18,") + ")),IF(AW18="Motor Alimentado de VFD",,IF(ISERROR(VLOOKUP(D18,'H4-CANALIZACIONES'!$C$28:$AN$40,COLUMN('H4-CANALIZACIONES'!#REF!),FALSE))=TRUE,AN18,VLOOKUP(D18,'H4-CANALIZACIONES'!$C$28:$AN$40,COLUMN('H4-CANALIZACIONES'!#REF!),FALSE))),IF(AW18="Motor Alimentado de VFD",,"x("),IF(BB18="No",IF(AW18="Motor Alimentado de VFD",3,1),BA18),"Gx",(IF(AQ18="Al",IF(AW18="Motor Alimentado de VFD",VLOOKUP(AM18,CONDUCTORES!$H$84:$J$98,3,FALSE),IF(BB18="No",LOOKUP(S18,CONDUCTORES!$A$111:$A$131,CONDUCTORES!$C$111:$C$131),BB18)),IF(AW18="Motor Alimentado de VFD",VLOOKUP(AM18,CONDUCTORES!$H$84:$J$98,3,FALSE),IF(BB18="No",LOOKUP(S18,CONDUCTORES!$A$111:$A$131,CONDUCTORES!$B$111:$B$131),BB18)))),")")),(IF(AO18="Multiconductor",CONCATENATE(AN18,"x(",IF(AO18="Monopolar",L18,IF(AW18="Motor Alimentado de VFD",3,MID(AP18,1,1))),"x",AM18,IF(AW18="Motor Alimentado de VFD",CONCATENATE(" + 3Gx",VLOOKUP(AM18,CONDUCTORES!$H$84:$J$98,3,FALSE)),""),")"),(IF(AND(K18=480,AY18="No"),CONCATENATE(AN18,"x[",L18,"x(1x",AM18,")]",IF(BD18="No","",CONCATENATE(" ",AN18,"x(",BC18,"Nx",BD18,")"))),IF(AND(AO18="Monopolar",K18&lt;&gt;34500,Z18&lt;&gt;"BANDEJA"),CONCATENATE(AN18,"x[",L18,"x(1x",AM18,")] + ",IF(BD18="No","",CONCATENATE(" ",AN18,"x(",BC18,"Nx",BD18,") + ")),IF(ISERROR(VLOOKUP(D18,'H4-CANALIZACIONES'!$C$28:$AN$40,COLUMN('H4-CANALIZACIONES'!#REF!),FALSE))=TRUE,'H4-CANALIZACIONES'!AO28,VLOOKUP(D18,'H4-CANALIZACIONES'!$C$28:$AN$40,COLUMN('H4-CANALIZACIONES'!#REF!),FALSE)),"x(",IF(BB18="No",1,BA18),"Gx",(IF(AQ18="Al",IF(AW18="Motor Alimentado de VFD",VLOOKUP(AM18,CONDUCTORES!$H$84:$J$98,3,FALSE),IF(BB18="No",LOOKUP(S18,CONDUCTORES!$A$111:$A$131,CONDUCTORES!$C$111:$C$131),BB18)),IF(AW18="Motor Alimentado de VFD",VLOOKUP(AM18,CONDUCTORES!$H$84:$J$98,3,FALSE),IF(BB18="No",LOOKUP(S18,CONDUCTORES!$A$111:$A$131,CONDUCTORES!$B$111:$B$131),BB18)))),")"),IF(K18=34500,CONCATENATE(AN18,"x[",L18,"x(1x",AM18,")]"),IF(AND(AY18="SI"),CONCATENATE(AN18,"x[",IF(AO18="Monopolar",L18,MID(AP18,1,1)),"x(1x",AM18,")] + ",IF(BD18="No","",CONCATENATE(" ",AN18,"x(",BC18,"Nx",BD18,") + ")),1,"x(",IF(BB18="No",1,BA18),"Gx",(IF(AQ18="Al",IF(AW18="Motor Alimentado de VFD",VLOOKUP(AM18,CONDUCTORES!$H$84:$J$98,3,FALSE),IF(BB18="No",LOOKUP(S18,CONDUCTORES!$A$111:$A$131,CONDUCTORES!$C$111:$C$131),BB18)),IF(AW18="Motor Alimentado de VFD",VLOOKUP(AM18,CONDUCTORES!$H$84:$J$98,3,FALSE),IF(BB18="No",LOOKUP(S18,CONDUCTORES!$A$111:$A$131,CONDUCTORES!$B$111:$B$131),BB18)))),")"),CONCATENATE(AN18,"x(",IF(AO18="Monopolar",L18,MID(AP18,1,1)),"x",AM18,")"))))))))))</f>
        <v>2x[3x(1x4/0 AWG)] + 2x(2Gx1/0 AWG)</v>
      </c>
      <c r="X18" s="1055" t="str">
        <f>IF(AND(AN18&gt;=2,OR(AM18="12 AWG",AM18="10 AWG",AM18="8 AWG",AM18="6 AWG",AM18="4 AWG",AM18="2 AWG")),"NO SE PERMITEN "&amp;AN18&amp;" CONDUCTORES DE "&amp;AM18&amp;"",""&amp;IF(AN18=1,"",IF(AN18=2,"1/2-",IF(AN18=3,"1/2/3-",IF(AN18=4,"1/2/3/4-",IF(AN18=5,"1/2/3/4/5-",IF(AN18=6,"1/2/3/4/5/6-",IF(AN18=7,"1/2/3/4/5/6/7-",IF(AN18=8,"1/2/3/4/5/6/7/8-",IF(AN18=9,"1/2/3/4/5/6/7/8/9-","1/2/3/4/5/6/7/8/9/10-")))))))))&amp;""&amp;IF(MID(D18,1,1)="H","H",IF(MID(D18,1,3)="ILU","A","P"))&amp;"-"&amp;IF(OR(AND(AO18="Monopolar",AY18="SI"),AND(AO18="Multiconductor",AP18="4/C  -")),"06",IF(AND(AO18="Monopolar",AY18="No"),"05",IF(AND(AO18="Multiconductor",AP18="3/C  -",AY18="No"),IF(AW18="Motor Alimentado de VFD","06",IF(AND(AO18="Multiconductor",AP18="2/C  -",AY18="No"),"01",IF(AW18="Otra Carga","02","04"))))))&amp;"-"&amp;VLOOKUP(K18,'CODIFICACIÓN ECO'!$F$5:$G$21,2,FALSE)&amp;"-"&amp;D18&amp;"")</f>
        <v>1/2-P-06-08-TBT08</v>
      </c>
      <c r="Y18" s="1054">
        <f>IF(Z18="AÉREO",LOOKUP(BU18,CONDUCTORES!$A$156:$A$161,CONDUCTORES!$P$156:$P$161),IF(AND(Z18="BANDEJA",AQ18="Cu",OR(AV18=0,AV18=1)),LOOKUP(BU18,CONDUCTORES!$A$9:$A$62,CONDUCTORES!$M$9:$M$62),IF(AND(OR(Z18="BANCO DE DUCTOS",Z18="TUBO"),AQ18="Cu"),LOOKUP(BU18,CONDUCTORES!$A$9:$A$62,CONDUCTORES!$L$9:$L$62),IF(AND(Z18="BANDEJA",AQ18="Al",OR(AV18=0,AV18=1)),LOOKUP(BU18,CONDUCTORES!$A$9:$A$62,CONDUCTORES!$P$9:$P$62),IF(AND(OR(Z18="BANCO DE DUCTOS",Z18="TUBO"),AQ18="Al"),LOOKUP(BU18,CONDUCTORES!$A$9:$A$62,CONDUCTORES!$O$9:$O$62),IF(AND(Z18="BANDEJA",AQ18="Cu",AV18=2.15),LOOKUP(BU18,CONDUCTORES!$A$9:$A$62,CONDUCTORES!$N$9:$N$62),IF(AND(Z18="BANDEJA",AQ18="Al",AV18=2.15),LOOKUP(BU18,CONDUCTORES!$A$9:$A$62,CONDUCTORES!$Q$9:$Q$62),"")))))))</f>
        <v>205</v>
      </c>
      <c r="Z18" s="1055" t="s">
        <v>596</v>
      </c>
      <c r="AA18" s="1054">
        <f>IF(ISERROR(VLOOKUP(D18,'H4-CANALIZACIONES'!$C$2:$AN$36,3,FALSE))=TRUE,(IF(AO18="Multiconductor",IF(AW18="Motor Alimentado de VFD",3,IF(K18=120,1,(MID(AP18,1,1))-1)),L18)),IF(MOD(MID(W18,1,1),IF(VLOOKUP(D18,'H4-CANALIZACIONES'!$C$2:$AN$36,COLUMN('H4-CANALIZACIONES'!Y5),FALSE)="--",1,VLOOKUP(D18,'H4-CANALIZACIONES'!$C$26:$AN$36,COLUMN('H4-CANALIZACIONES'!Y5),FALSE)))=0,(MID(W18,1,1)/IF(VLOOKUP(D18,'H4-CANALIZACIONES'!$C$2:$AN$36,COLUMN('H4-CANALIZACIONES'!Y5),FALSE)="--",1,VLOOKUP(D18,'H4-CANALIZACIONES'!$C$26:$AN$36,COLUMN('H4-CANALIZACIONES'!Y5),FALSE)))*(IF(AO18="Multiconductor",IF(AW18="Motor Alimentado de VFD",3,IF(K18=120,1,(MID(AP18,1,1))-1)),L18)),"NO"))</f>
        <v>3</v>
      </c>
      <c r="AB18" s="1056">
        <f>IF(Z18="BANCO DE DUCTOS",BZ18,IF(Z18="BANDEJA",BY18,IF(Z18="TUBO",BZ18,1)))</f>
        <v>1</v>
      </c>
      <c r="AC18" s="1057" t="s">
        <v>597</v>
      </c>
      <c r="AD18" s="1058">
        <f>CC18</f>
        <v>1</v>
      </c>
      <c r="AE18" s="1059">
        <f>IFERROR(BR18,"NO SE CALCULA")</f>
        <v>410</v>
      </c>
      <c r="AF18" s="1060">
        <f t="shared" ref="AF18:AF19" si="2">IF(OR(L18=2,L18=3),(SQRT(3)*O18*G18*((BL18*M18)+((SQRT(1-M18^2))*BM18))/(10*K18*AN18)),IF(L18=1,(2*O18*G18*(BL18*M18+SQRT(1-M18^2)*BM18)/(10*K18*AN18))))</f>
        <v>0.23945365385582529</v>
      </c>
      <c r="AG18" s="1060">
        <f t="shared" ref="AG18:AG26" si="3">+AF18+SUMIF($D$18:$D$970,F18,$AG$18:$AG$970)</f>
        <v>0.23945365385582529</v>
      </c>
      <c r="AH18" s="1060">
        <f>1/SQRT(1+POWER((AX18/100),2))</f>
        <v>0.99875233887784465</v>
      </c>
      <c r="AI18" s="825" t="str">
        <f>+IF(R18&lt;=(Y18*AN18),"SI","NO")</f>
        <v>SI</v>
      </c>
      <c r="AJ18" s="826" t="str">
        <f>+IF(AL18="","FALTA DATO",IF(AK18&gt;=AL18,"SI","NO"))</f>
        <v>SI</v>
      </c>
      <c r="AK18" s="812">
        <f>SQRT((IF(AQ18="Cu",0.0297,0.0125))*LOG10((150+(IF(AQ18="Cu",234,228)))/(90+(IF(AQ18="Cu",234,228))))/U18)*LOOKUP(BU18,CONDUCTORES!$A$9:$A$62,CONDUCTORES!$W$9:$W$62)</f>
        <v>45.739424970151141</v>
      </c>
      <c r="AL18" s="758">
        <v>35</v>
      </c>
      <c r="AM18" s="548" t="s">
        <v>818</v>
      </c>
      <c r="AN18" s="548">
        <v>2</v>
      </c>
      <c r="AO18" s="548" t="s">
        <v>599</v>
      </c>
      <c r="AP18" s="548" t="s">
        <v>645</v>
      </c>
      <c r="AQ18" s="341" t="s">
        <v>601</v>
      </c>
      <c r="AR18" s="341" t="s">
        <v>97</v>
      </c>
      <c r="AS18" s="548">
        <v>1</v>
      </c>
      <c r="AT18" s="548">
        <v>1</v>
      </c>
      <c r="AU18" s="548" t="s">
        <v>613</v>
      </c>
      <c r="AV18" s="548">
        <v>1</v>
      </c>
      <c r="AW18" s="549" t="s">
        <v>640</v>
      </c>
      <c r="AX18" s="548">
        <v>5</v>
      </c>
      <c r="AY18" s="550" t="s">
        <v>175</v>
      </c>
      <c r="AZ18" s="547">
        <f>((( IF(L18=1,K18, (K18/SQRT(3))  )     /((((VLOOKUP(AM18,CONDUCTORES!$L$83:$N$97,IF(AQ18="Al",2,3),FALSE))/(AN18))*(G18/1000))+(((VLOOKUP(IF(BB18="No",IF(AO18="Multiconductor",AM18,(IF(AQ18="Al",LOOKUP(S18,CONDUCTORES!$A$111:$A$131,CONDUCTORES!$C$111:$C$131),LOOKUP(S18,CONDUCTORES!$A$111:$A$131,CONDUCTORES!$B$111:$B$131)))),BB18),CONDUCTORES!$L$83:$N$97,IF(AQ18="Al",2,3),FALSE))/IF(BB18="No",1,BA18))*(G18/1000))))/1000)/(S18))*1000</f>
        <v>117.95644295440572</v>
      </c>
      <c r="BA18" s="548">
        <v>2</v>
      </c>
      <c r="BB18" s="548" t="s">
        <v>598</v>
      </c>
      <c r="BC18" s="548">
        <v>1</v>
      </c>
      <c r="BD18" s="548" t="s">
        <v>605</v>
      </c>
      <c r="BE18" s="565">
        <f>BG18*((IF(Z18="BANDEJA",1,VLOOKUP(AA18,'% PORTADORES I'!$A$2:$B$42,2,FALSE)))*(IF(Z18="AÉREO",LOOKUP(BV18,CONDUCTORES!$A$156:$A$161,CONDUCTORES!$P$156:$P$161),IF(AND(Z18="BANDEJA",OR(AV18=0,AV18=1)),IF(BH18="Cu",LOOKUP(BV18,CONDUCTORES!$A$9:$A$62,CONDUCTORES!$M$9:$M$62),LOOKUP(BV18,CONDUCTORES!$A$9:$A$62,CONDUCTORES!$P$9:$P$62)),IF(OR(Z18="BANCO DE DUCTOS",Z18="TUBO"),IF(BH18="Cu",LOOKUP(BV18,CONDUCTORES!$A$9:$A$62,CONDUCTORES!$L$9:$L$62),LOOKUP(BV18,CONDUCTORES!$A$9:$A$62,CONDUCTORES!$O$9:$O$62)),IF(AND(Z18="BANDEJA",AV18=2.15),IF(BH18="Cu",LOOKUP(BV18,CONDUCTORES!$A$9:$A$62,CONDUCTORES!$N$9:$N$62),LOOKUP(BV18,CONDUCTORES!$A$9:$A$62,CONDUCTORES!$Q$9:$Q$62))))))))*AD18*AB18</f>
        <v>410</v>
      </c>
      <c r="BF18" s="548" t="str">
        <f>+AM18</f>
        <v>4/0 AWG</v>
      </c>
      <c r="BG18" s="548">
        <f>+AN18</f>
        <v>2</v>
      </c>
      <c r="BH18" s="341" t="s">
        <v>601</v>
      </c>
      <c r="BI18" s="641" t="str">
        <f>IF(AO18="Monopolar","1/C  -",AP18)</f>
        <v>1/C  -</v>
      </c>
      <c r="BJ18" s="618">
        <f>IF(Z18="AÉREO",LOOKUP(BU18,CONDUCTORES!$A$156:$A$161,CONDUCTORES!$D$156:$D$161),LOOKUP(BU18,CONDUCTORES!$A$9:$A$62,CONDUCTORES!$D$9:$D$62))</f>
        <v>16.21</v>
      </c>
      <c r="BK18" s="621">
        <f>LOOKUP(BU18,CONDUCTORES!$A$9:$A$62,CONDUCTORES!$R$9:$R$62)</f>
        <v>38</v>
      </c>
      <c r="BL18" s="619">
        <f>IF(AQ18="Cu",LOOKUP(BU18,CONDUCTORES!$A$9:$A$62,CONDUCTORES!$H$9:$H$62),IF(AQ18="Al",LOOKUP(BU18,CONDUCTORES!$A$9:$A$62,CONDUCTORES!$J$9:$J$62),"Err Material"))</f>
        <v>0.34423600000000004</v>
      </c>
      <c r="BM18" s="619">
        <f>LOOKUP(BU18,CONDUCTORES!$A$9:$A$62,CONDUCTORES!$I$9:$I$62)</f>
        <v>0.16732283464566927</v>
      </c>
      <c r="BN18" s="620">
        <f t="shared" ref="BN18:BN19" si="4">AN18*Y18</f>
        <v>410</v>
      </c>
      <c r="BO18" s="625">
        <f>CB18</f>
        <v>1</v>
      </c>
      <c r="BP18" s="620" t="str">
        <f>IF(BR18&gt;Q18,Listas!C$2,Listas!C$3)</f>
        <v>Si</v>
      </c>
      <c r="BQ18" s="620" t="str">
        <f>IF(AF18&lt;$BQ$12*100,Listas!C$2,Listas!C$3)</f>
        <v>Si</v>
      </c>
      <c r="BR18" s="621">
        <f>AN18*((IF(Z18="BANDEJA",1,VLOOKUP(AA18,'% PORTADORES I'!$A$2:$B$42,2,FALSE)))*(Y18))*AD18*AB18</f>
        <v>410</v>
      </c>
      <c r="BS18" s="621">
        <f t="shared" ref="BS18:BS19" si="5">IF(AW18="Generador",O18*1.15,IF(AW18="Trafo Primario",IF(O18&lt;2,O18*3,IF(AND(O18&gt;2,O18&lt;9),O18*1.67,O18*1.25)),IF(AW18="Trafo Primario - Secundario",O18*2.5,IF(AW18="Protección Tablero",IF(O18&lt;9,O18*1.67,O18*1.25),O18*1.25))))</f>
        <v>338.71377335985608</v>
      </c>
      <c r="BT18" s="642" t="str">
        <f t="shared" ref="BT18:BT19" si="6">+AM18</f>
        <v>4/0 AWG</v>
      </c>
      <c r="BU18" s="622">
        <f>IF(AO18="Monopolar",VLOOKUP(AM18,CONDUCTORES!$B$9:$X$23,23,FALSE),IF(AND(AM18="12 AWG",AO18="Multiconductor",AP18="2/C  -"),16,IF(AND(AM18="12 AWG",AO18="Multiconductor",AP18="3/C  -"),17,IF(AND(AM18="12 AWG",AO18="Multiconductor",AP18="4/C  -"),18,IF(AND(AM18="10 AWG",AO18="Multiconductor",AP18="2/C  -"),19,IF(AND(AM18="10 AWG",AO18="Multiconductor",AP18="3/C  -"),20,IF(AND(AM18="10 AWG",AO18="Multiconductor",AP18="4/C  -"),21,IF(AND(AM18="8 AWG",AO18="Multiconductor",AP18="2/C  -"),22,IF(AND(AM18="8 AWG",AO18="Multiconductor",AP18="3/C  -"),23,IF(AND(AM18="8 AWG",AO18="Multiconductor",AP18="4/C  -"),24,IF(AND(AM18="6 AWG",AO18="Multiconductor",AP18="2/C  -"),25,IF(AND(AM18="6 AWG",AO18="Multiconductor",AP18="3/C  -"),26,IF(AND(AM18="6 AWG",AO18="Multiconductor",AP18="4/C  -"),27,IF(AND(AM18="4 AWG",AO18="Multiconductor",AP18="2/C  -"),28,IF(AND(AM18="4 AWG",AO18="Multiconductor",AP18="3/C  -"),29,IF(AND(AM18="4 AWG",AO18="Multiconductor",AP18="4/C  -"),30,IF(AND(AM18="2 AWG",AO18="Multiconductor",AP18="2/C  -"),31,IF(AND(AM18="2 AWG",AO18="Multiconductor",AP18="3/C  -"),32,IF(AND(AM18="2 AWG",AO18="Multiconductor",AP18="4/C  -"),33,IF(AND(AM18="1/0 AWG",AO18="Multiconductor",AP18="2/C  -"),34,IF(AND(AM18="1/0 AWG",AO18="Multiconductor",AP18="3/C  -"),35,IF(AND(AM18="1/0 AWG",AO18="Multiconductor",AP18="4/C  -"),36,IF(AND(AM18="2/0 AWG",AO18="Multiconductor",AP18="2/C  -"),37,IF(AND(AM18="2/0 AWG",AO18="Multiconductor",AP18="3/C  -"),38,IF(AND(AM18="2/0 AWG",AO18="Multiconductor",AP18="4/C  -"),39,IF(AND(AM18="3/0 AWG",AO18="Multiconductor",AP18="2/C  -"),40,IF(AND(AM18="3/0 AWG",AO18="Multiconductor",AP18="3/C  -"),41,IF(AND(AM18="3/0 AWG",AO18="Multiconductor",AP18="4/C  -"),42,IF(AND(AM18="4/0 AWG",AO18="Multiconductor",AP18="2/C  -"),43,IF(AND(AM18="4/0 AWG",AO18="Multiconductor",AP18="3/C  -"),44,IF(AND(AM18="4/0 AWG",AO18="Multiconductor",AP18="4/C  -"),45,IF(AND(AM18="250 kcmil",AO18="Multiconductor",AP18="2/C  -"),46,IF(AND(AM18="250 kcmil",AO18="Multiconductor",AP18="3/C  -"),47,IF(AND(AM18="250 kcmil",AO18="Multiconductor",AP18="4/C  -"),48,IF(AND(AM18="350 kcmil",AO18="Multiconductor",AP18="2/C  -"),49,IF(AND(AM18="350 kcmil",AO18="Multiconductor",AP18="3/C  -"),50,IF(AND(AM18="350 kcmil",AO18="Multiconductor",AP18="4/C  -"),51,IF(AND(AM18="500 kcmil",AO18="Multiconductor",AP18="2/C  -"),52,IF(AND(AM18="500 kcmil",AO18="Multiconductor",AP18="3/C  -"),53,IF(AND(AM18="500 kcmil",AO18="Multiconductor",AP18="4/C  -"),54,FALSE))))))))))))))))))))))))))))))))))))))))</f>
        <v>10</v>
      </c>
      <c r="BV18" s="622">
        <f>IF(AO18="Monopolar",VLOOKUP(BF18,CONDUCTORES!$B$9:$X$23,23,FALSE),IF(AND(BF18="12 AWG",AO18="Multiconductor",AP18="2/C  -"),16,IF(AND(BF18="12 AWG",AO18="Multiconductor",AP18="3/C  -"),17,IF(AND(BF18="12 AWG",AO18="Multiconductor",AP18="4/C  -"),18,IF(AND(BF18="10 AWG",AO18="Multiconductor",AP18="2/C  -"),19,IF(AND(BF18="10 AWG",AO18="Multiconductor",AP18="3/C  -"),20,IF(AND(BF18="10 AWG",AO18="Multiconductor",AP18="4/C  -"),21,IF(AND(BF18="8 AWG",AO18="Multiconductor",AP18="2/C  -"),22,IF(AND(BF18="8 AWG",AO18="Multiconductor",AP18="3/C  -"),23,IF(AND(BF18="8 AWG",AO18="Multiconductor",AP18="4/C  -"),24,IF(AND(BF18="6 AWG",AO18="Multiconductor",AP18="2/C  -"),25,IF(AND(BF18="6 AWG",AO18="Multiconductor",AP18="3/C  -"),26,IF(AND(BF18="6 AWG",AO18="Multiconductor",AP18="4/C  -"),27,IF(AND(BF18="4 AWG",AO18="Multiconductor",AP18="2/C  -"),28,IF(AND(BF18="4 AWG",AO18="Multiconductor",AP18="3/C  -"),29,IF(AND(BF18="4 AWG",AO18="Multiconductor",AP18="4/C  -"),30,IF(AND(BF18="2 AWG",AO18="Multiconductor",AP18="2/C  -"),31,IF(AND(BF18="2 AWG",AO18="Multiconductor",AP18="3/C  -"),32,IF(AND(BF18="2 AWG",AO18="Multiconductor",AP18="4/C  -"),33,IF(AND(BF18="1/0 AWG",AO18="Multiconductor",AP18="2/C  -"),34,IF(AND(BF18="1/0 AWG",AO18="Multiconductor",AP18="3/C  -"),35,IF(AND(BF18="1/0 AWG",AO18="Multiconductor",AP18="4/C  -"),36,IF(AND(BF18="2/0 AWG",AO18="Multiconductor",AP18="2/C  -"),37,IF(AND(BF18="2/0 AWG",AO18="Multiconductor",AP18="3/C  -"),38,IF(AND(BF18="2/0 AWG",AO18="Multiconductor",AP18="4/C  -"),39,IF(AND(BF18="3/0 AWG",AO18="Multiconductor",AP18="2/C  -"),40,IF(AND(BF18="3/0 AWG",AO18="Multiconductor",AP18="3/C  -"),41,IF(AND(BF18="3/0 AWG",AO18="Multiconductor",AP18="4/C  -"),42,IF(AND(BF18="4/0 AWG",AO18="Multiconductor",AP18="2/C  -"),43,IF(AND(BF18="4/0 AWG",AO18="Multiconductor",AP18="3/C  -"),44,IF(AND(BF18="4/0 AWG",AO18="Multiconductor",AP18="4/C  -"),45,IF(AND(BF18="250 kcmil",AO18="Multiconductor",AP18="2/C  -"),46,IF(AND(BF18="250 kcmil",AO18="Multiconductor",AP18="3/C  -"),47,IF(AND(BF18="250 kcmil",AO18="Multiconductor",AP18="4/C  -"),48,IF(AND(BF18="350 kcmil",AO18="Multiconductor",AP18="2/C  -"),49,IF(AND(BF18="350 kcmil",AO18="Multiconductor",AP18="3/C  -"),50,IF(AND(BF18="350 kcmil",AO18="Multiconductor",AP18="4/C  -"),51,IF(AND(BF18="500 kcmil",AO18="Multiconductor",AP18="2/C  -"),52,IF(AND(BF18="500 kcmil",AO18="Multiconductor",AP18="3/C  -"),53,IF(AND(BF18="500 kcmil",AO18="Multiconductor",AP18="4/C  -"),54,FALSE))))))))))))))))))))))))))))))))))))))))</f>
        <v>10</v>
      </c>
      <c r="BW18" s="623">
        <f>BS18/BR18</f>
        <v>0.82613115453623431</v>
      </c>
      <c r="BX18" s="624">
        <f>CA18</f>
        <v>1</v>
      </c>
      <c r="BY18" s="625">
        <f t="shared" ref="BY18:BY19" si="7">IF(AND(AU18="CON TAPA",OR(AM18="12 AWG",AM18="10 AWG",AM18="8 AWG",AM18="6 AWG",AM18="4 AWG",AM18="2 AWG",AM18="1 AWG",AM18="1/0 AWG",AM18="2/0 AWG",AM18="3/0 AWG",AM18="4/0 AWG",AM18="250 kcmil",AM18="350 kcmil",AM18="500 kcmil")),0.6,IF(AND(AU18="CON TAPA",OR(AM18="750 kcmil",AM18="1000 kcmil")),0.7,IF(AND(AU18="SIN TAPA",OR(AM18="12 AWG",AM18="10 AWG",AM18="8 AWG",AM18="6 AWG",AM18="4 AWG",AM18="2 AWG",AM18="1 AWG",AM18="1/0 AWG",AM18="2/0 AWG",AM18="3/0 AWG",AM18="4/0 AWG",AM18="250 kcmil",AM18="350 kcmil",AM18="500 kcmil"),AV18=0),0.65,IF(AND(AU18="SIN TAPA",OR(AM18="750 kcmil",AM18="1000 kcmil"),AV18=0),0.75,IF(AND(AU18="SIN TAPA",OR(AV18=1,AV18=2.15)),1,"otro")))))</f>
        <v>0.6</v>
      </c>
      <c r="BZ18" s="625">
        <f t="shared" ref="BZ18:BZ19" si="8">IF(AND(AA18&lt;4,AA18&gt;=1),1,IF(AND(AA18&lt;=6,AA18&gt;=4),0.8,IF(AND(AA18&lt;=9,AA18&gt;=7),0.7,IF(AND(AA18&lt;=20,AA18&gt;=10),0.5,IF(AND(AA18&lt;=30,AA18&gt;=21),0.45,IF(AND(AA18&lt;=40,AA18&gt;=31),0.4,IF(AA18&gt;=41,0.35,"")))))))</f>
        <v>1</v>
      </c>
      <c r="CA18" s="626">
        <f>IF(AS18&gt;4,"# FILAS Fuera de rango",IF(AT18&gt;15,"#COLUMNAS Fuera de rango",IF(BU18=0,"CALIBRE CABLE CERO",IF(OR(BU18=1,BU18=16,BU18=17,BU18=18),INDEX('0-5000'!$D$4:$R$7,AS18,AT18),IF(OR(BU18=2,BU18=19,BU18=20,BU18=21),INDEX('0-5000'!$D$8:$R$11,AS18,AT18),IF(OR(BU18=3,BU18=22,BU18=23,BU18=24),INDEX('0-5000'!$D$12:$R$15,AS18,AT18),IF(OR(BU18=4,BU18=25,BU18=26,BU18=27),INDEX('0-5000'!$D$16:$R$19,AS18,AT18),CB18)))))))</f>
        <v>1</v>
      </c>
      <c r="CB18" s="627">
        <f>IF(OR(BU18=1,BU18=16,BU18=17,BU18=18),INDEX('0-5000'!$D$4:$R$7,AS18,AT18),IF(OR(BU18=2,BU18=19,BU18=20,BU18=21),INDEX('0-5000'!$D$8:$R$11,AS18,AT18),IF(OR(BU18=3,BU18=22,BU18=23,BU18=24),INDEX('0-5000'!$D$12:$R$15,AS18,AT18),IF(OR(BU18=4,BU18=25,BU18=26,BU18=27),INDEX('0-5000'!$D$18:$R$19,AS18,AT18),IF(OR(BU18=5,BU18=28,BU18=29,BU18=30),INDEX('0-5000'!$D$20:$R$23,AS18,AT18),IF(OR(BU18=6,BU18=31,BU18=32,BU18=33),INDEX('0-5000'!$D$24:$R$27,AS18,AT18),IF(OR(BU18=7,BU18=34,BU18=35,BU18=36),INDEX('0-5000'!$D$32:$R$35,AS18,AT18),IF(OR(BU18=8,BU18=37,BU18=38,BU18=39),INDEX('0-5000'!$D$36:$R$39,AS18,AT18),IF(OR(BU18=9,BU18=40,BU18=41,BU18=42),INDEX('0-5000'!$D$40:$R$43,AS18,AT18),IF(OR(BU18=10,BU18=43,BU18=44,BU18=45),INDEX('0-5000'!$D$44:$R$47,AS18,AT18),IF(OR(BU18=11,BU18=46,BU18=47,BU18=48),INDEX('0-5000'!$D$48:$R$51,AS18,AT18),IF(OR(BU18=12,BU18=49,BU18=50,BU18=51),INDEX('0-5000'!$D$52:$R$55,AS18,AT18),IF(OR(BU18=13,BU18=52,BU18=53,BU18=54),INDEX('0-5000'!$D$56:$R$59,AS18,AT18),IF(OR(BU18=14,BU18=55,BU18=56,BU18=57),INDEX('0-5000'!$D$60:$R$63,AS18,AT18),IF(BU18=15,INDEX('0-5000'!$D$64:$R$67,AS18,AT18),"# CABLE Fuera de Rango")))))))))))))))</f>
        <v>1</v>
      </c>
      <c r="CC18" s="643">
        <f>VLOOKUP($AC18,Listas!$A$20:$B$29,2,FALSE)</f>
        <v>1</v>
      </c>
      <c r="CD18" s="616">
        <f t="shared" ref="CD18:CD19" si="9">LEN(C18)-LEN(SUBSTITUTE(C18,IF(ISNUMBER(FIND(".",C18)),".",","),""))</f>
        <v>2</v>
      </c>
    </row>
    <row r="19" spans="2:82" ht="67.2" customHeight="1" x14ac:dyDescent="0.25">
      <c r="B19" s="338">
        <f>+IF(OR(CD19=0,CD19=1),0,COUNTIF(CD$15:CD19,CD19))</f>
        <v>2</v>
      </c>
      <c r="C19" s="819" t="str">
        <f>+_xlfn.CONCAT($C$17,".",SUBTOTAL(103,$D$18:D19))</f>
        <v>2.1.2</v>
      </c>
      <c r="D19" s="820" t="str">
        <f>+Longitudes!C11</f>
        <v>LPB E0701-BT</v>
      </c>
      <c r="E19" s="821" t="s">
        <v>1994</v>
      </c>
      <c r="F19" s="1040" t="str">
        <f>+Longitudes!B11</f>
        <v>TBT08</v>
      </c>
      <c r="G19" s="1311">
        <f>+Longitudes!L11</f>
        <v>15</v>
      </c>
      <c r="H19" s="828"/>
      <c r="I19" s="1312">
        <f>'Demanda Trafo A'!S10</f>
        <v>114.61</v>
      </c>
      <c r="J19" s="829" t="s">
        <v>595</v>
      </c>
      <c r="K19" s="827">
        <v>480</v>
      </c>
      <c r="L19" s="827">
        <v>3</v>
      </c>
      <c r="M19" s="830">
        <f>+'H1-CUADRO DE CARGAS'!$M$12</f>
        <v>0.79600000000000004</v>
      </c>
      <c r="N19" s="830">
        <f>+'H1-CUADRO DE CARGAS'!$O$12</f>
        <v>0.94099999999999995</v>
      </c>
      <c r="O19" s="1045">
        <f>(IF(L19=1,IF(J19="HP",(I19*746)/(K19*M19),IF(J19="kVA",I19*1000/K19,IF(J19="kW",I19*1000/(K19*M19),""))),IF(L19=3,IF(J19="HP",IF(OR(K19=4160,K19=34500),((I19*0.746)/M19)*1000/(SQRT(3)*K19*N19),IF(AND(K19&lt;=480,K19&gt;=440),VLOOKUP(I19,'I Plena Carga'!$C$3:$I$29,7),IF(AND(K19&lt;=240,K19&gt;=220),VLOOKUP(I19,'I Plena Carga'!$C$3:$G$29,5),IF(K19=208,VLOOKUP(I19,'I Plena Carga'!$C$3:$F$29,4),IF(AND(K19&lt;=127,K19&gt;=110),VLOOKUP(I19,'I Plena Carga'!$C$3:$D$29,2),""))))),IF(J19="kVA",I19*1000/(SQRT(3)*K19),IF(J19="kW",I19*1000/(SQRT(3)*K19*M19),""))),IF(L19=2,IF(J19="HP",(I19*746)/(K19*M19),IF(J19="kVA",I19*1000/(K19),IF(J19="kW",I19*1000/(K19*M19),""))),"Rev.#Fases"))))*(SQRT(1+((AX19/100)^2)))</f>
        <v>138.02661534141546</v>
      </c>
      <c r="P19" s="1046" t="str">
        <f t="shared" ref="P19:P20" si="10">IF(OR(AW19="Motor",AW19="Motor Alimentado de VFD"),(IF($P$9="CORRIENTE DE ARRANQUE DIRECTO (MOTORES)",O19*8,IF($P$9="CORRIENTE DE ARRANCADOR SUAVE (MOTORES)",O19*3,IF($P$9="CORRIENTE DE ARRANQUE  Δ-Y (MOTORES)",O19*6,IF($P$9="CORRIENTE DE ARRANQUE CON VARIADOR (MOTORES)",O19*2,O19))))),"N/A")</f>
        <v>N/A</v>
      </c>
      <c r="Q19" s="1047">
        <f>O19*1.25</f>
        <v>172.53326917676932</v>
      </c>
      <c r="R19" s="1047">
        <f t="shared" si="0"/>
        <v>175</v>
      </c>
      <c r="S19" s="1047">
        <f>(IF((IF(OR(AW19="Trafo Primario",AW19="Trafo Primario - Secundario",AW19="Protección Tablero"),BS19,Q19))&lt;CONDUCTORES!$E$111,CONDUCTORES!$E$111,IF((IF(OR(AW19="Trafo Primario",AW19="Trafo Primario - Secundario",AW19="Protección Tablero"),BS19,Q19))&lt;CONDUCTORES!$E$112,CONDUCTORES!$E$112,IF((IF(OR(AW19="Trafo Primario",AW19="Trafo Primario - Secundario",AW19="Protección Tablero"),BS19,Q19))&lt;CONDUCTORES!$E$113,CONDUCTORES!$E$113,IF((IF(OR(AW19="Trafo Primario",AW19="Trafo Primario - Secundario",AW19="Protección Tablero"),BS19,Q19))&lt;CONDUCTORES!$E$114,CONDUCTORES!$E$114,IF((IF(OR(AW19="Trafo Primario",AW19="Trafo Primario - Secundario",AW19="Protección Tablero"),BS19,Q19))&lt;CONDUCTORES!$E$115,CONDUCTORES!$E$115,IF((IF(OR(AW19="Trafo Primario",AW19="Trafo Primario - Secundario",AW19="Protección Tablero"),BS19,Q19))&lt;CONDUCTORES!$E$116,CONDUCTORES!$E$116,IF((IF(OR(AW19="Trafo Primario",AW19="Trafo Primario - Secundario",AW19="Protección Tablero"),BS19,Q19))&lt;CONDUCTORES!$E$117,CONDUCTORES!$E$117,IF((IF(OR(AW19="Trafo Primario",AW19="Trafo Primario - Secundario",AW19="Protección Tablero"),BS19,Q19))&lt;CONDUCTORES!$E$118,CONDUCTORES!$E$118,IF((IF(OR(AW19="Trafo Primario",AW19="Trafo Primario - Secundario",AW19="Protección Tablero"),BS19,Q19))&lt;CONDUCTORES!$E$119,CONDUCTORES!$E$119,IF((IF(OR(AW19="Trafo Primario",AW19="Trafo Primario - Secundario",AW19="Protección Tablero"),BS19,Q19))&lt;CONDUCTORES!$E$120,CONDUCTORES!$E$120,IF((IF(OR(AW19="Trafo Primario",AW19="Trafo Primario - Secundario",AW19="Protección Tablero"),BS19,Q19))&lt;CONDUCTORES!$E$121,CONDUCTORES!$E$121,IF((IF(AND(AW19="Trafo Primario",AW19="Trafo Primario - Secundario",AW19="Protección Tablero"),BS19,Q19))&lt;CONDUCTORES!$E$122,CONDUCTORES!$E$122,IF((IF(OR(AW19="Trafo Primario",AW19="Trafo Primario - Secundario",AW19="Protección Tablero"),BS19,Q19))&lt;CONDUCTORES!$E$123,CONDUCTORES!$E$123,IF((IF(OR(AW19="Trafo Primario",AW19="Trafo Primario - Secundario",AW19="Protección Tablero"),BS19,Q19))&lt;CONDUCTORES!$E$124,CONDUCTORES!$E$124,IF((IF(OR(AW19="Trafo Primario",AW19="Trafo Primario - Secundario",AW19="Protección Tablero"),BS19,Q19))&lt;CONDUCTORES!$E$125,CONDUCTORES!$E$125,IF((IF(OR(AW19="Trafo Primario",AW19="Trafo Primario - Secundario",AW19="Protección Tablero"),BS19,Q19))&lt;CONDUCTORES!$E$126,CONDUCTORES!$E$126,IF((IF(OR(AW19="Trafo Primario",AW19="Trafo Primario - Secundario",AW19="Protección Tablero"),BS19,Q19))&lt;CONDUCTORES!$E$127,CONDUCTORES!$E$127,IF((IF(OR(AW19="Trafo Primario",AW19="Trafo Primario - Secundario",AW19="Protección Tablero"),BS19,Q19))&lt;CONDUCTORES!$E$128,CONDUCTORES!$E$128,IF((IF(OR(AW19="Trafo Primario",AW19="Trafo Primario - Secundario",AW19="Protección Tablero"),BS19,Q19))&lt;CONDUCTORES!$E$129,CONDUCTORES!$E$129,IF((IF(OR(AW19="Trafo Primario",AW19="Trafo Primario - Secundario",AW19="Protección Tablero"),BS19,Q19))&lt;CONDUCTORES!$E$130,CONDUCTORES!$E$130,IF((IF(OR(AW19="Trafo Primario",AW19="Trafo Primario - Secundario",AW19="Protección Tablero"),BS19,Q19))&lt;CONDUCTORES!$E$131,CONDUCTORES!$E$131,IF((IF(OR(AW19="Trafo Primario",AW19="Trafo Primario - Secundario",AW19="Protección Tablero"),BS19,Q19))&lt;CONDUCTORES!$E$132,CONDUCTORES!$E$132,IF((IF(OR(AW19="Trafo Primario",AW19="Trafo Primario - Secundario",AW19="Protección Tablero"),BS19,Q19))&lt;CONDUCTORES!$E$133,CONDUCTORES!$E$133,IF((IF(OR(AW19="Trafo Primario",AW19="Trafo Primario - Secundario",AW19="Protección Tablero"),BS19,Q19))&lt;CONDUCTORES!$E$134,CONDUCTORES!$E$134,IF((IF(OR(AW19="Trafo Primario",AW19="Trafo Primario - Secundario",AW19="Protección Tablero"),BS19,Q19))&lt;CONDUCTORES!$E$135,CONDUCTORES!$E$135,IF((IF(OR(AW19="Trafo Primario",AW19="Trafo Primario - Secundario",AW19="Protección Tablero"),BS19,Q19))&lt;CONDUCTORES!$E$136,CONDUCTORES!$E$136,IF((IF(OR(AW19="Trafo Primario",AW19="Trafo Primario - Secundario",AW19="Protección Tablero"),BS19,Q19))&lt;CONDUCTORES!$E$137,CONDUCTORES!$E$137,IF((IF(OR(AW19="Trafo Primario",AW19="Trafo Primario - Secundario",AW19="Protección Tablero"),BS19,Q19))&lt;CONDUCTORES!$E$138,CONDUCTORES!$E$138,IF((IF(OR(AW19="Trafo Primario",AW19="Trafo Primario - Secundario",AW19="Protección Tablero"),BS19,Q19))&lt;CONDUCTORES!$E$139,CONDUCTORES!$E$139,IF((IF(OR(AW19="Trafo Primario",AW19="Trafo Primario - Secundario",AW19="Protección Tablero"),BS19,Q19))&lt;CONDUCTORES!$E$140,CONDUCTORES!$E$140,IF((IF(OR(AW19="Trafo Primario",AW19="Trafo Primario - Secundario",AW19="Protección Tablero"),BS19,Q19))&lt;CONDUCTORES!$E$141,CONDUCTORES!$E$141,IF((IF(OR(AW19="Trafo Primario",AW19="Trafo Primario - Secundario",AW19="Protección Tablero"),BS19,Q19))&lt;CONDUCTORES!$E$142,CONDUCTORES!$E$142,IF((IF(OR(AW19="Trafo Primario",AW19="Trafo Primario - Secundario",AW19="Protección Tablero"),BS19,Q19))&lt;CONDUCTORES!$E$143,CONDUCTORES!$E$143,IF((IF(OR(AW19="Trafo Primario",AW19="Trafo Primario - Secundario",AW19="Protección Tablero"),BS19,Q19))&lt;CONDUCTORES!$E$144,CONDUCTORES!$E$144,IF((IF(OR(AW19="Trafo Primario",AW19="Trafo Primario - Secundario",AW19="Protección Tablero"),BS19,Q19))&lt;CONDUCTORES!$E$145,CONDUCTORES!$E$145,IF((IF(OR(AW19="Trafo Primario",AW19="Trafo Primario - Secundario",AW19="Protección Tablero"),BS19,Q19))&lt;CONDUCTORES!$E$146,CONDUCTORES!$E$146,IF((IF(OR(AW19="Trafo Primario",AW19="Trafo Primario - Secundario",AW19="Protección Tablero"),BS19,Q19))&lt;CONDUCTORES!$E$147,CONDUCTORES!$E$147,IF((IF(OR(AW19="Trafo Primario",AW19="Trafo Primario - Secundario",AW19="Protección Tablero"),BS19,Q19))&lt;CONDUCTORES!$E$148,CONDUCTORES!$E$148,IF((IF(OR(AW19="Trafo Primario",AW19="Trafo Primario - Secundario",AW19="Protección Tablero"),BS19,Q19))&lt;CONDUCTORES!$E$149,CONDUCTORES!$E$149,))))))))))))))))))))))))))))))))))))))))</f>
        <v>175</v>
      </c>
      <c r="T19" s="1048">
        <f>IF(AZ19&lt;10,CONCATENATE(ROUND(((IF(L19=1,K19,K19/SQRT(3)))/((((VLOOKUP(AM19,CONDUCTORES!$L$83:$N$97,IF(AQ19="Al",2,3),FALSE))/(AN19))*(G19/1000))+(((VLOOKUP(IF(BB19="No",(IF(AQ19="Al",LOOKUP(S19,CONDUCTORES!$A$111:$A$131,CONDUCTORES!$C$111:$C$131),LOOKUP(S19,CONDUCTORES!$A$111:$A$131,CONDUCTORES!$B$111:$B$131))),BB19),CONDUCTORES!$L$83:$N$97,IF(AQ19="Al",2,3),FALSE))/IF(BB19="No",1,BA19))*(G19/1000))))/1000,2)," &lt; 10*Inp"),((IF(L19=1,K19,K19/SQRT(3)))/((((VLOOKUP(AM19,CONDUCTORES!$L$83:$N$97,IF(AQ19="Al",2,3),FALSE))/(AN19))*(G19/1000))+(((VLOOKUP(IF(BB19="No",(IF(AQ19="Al",LOOKUP(S19,CONDUCTORES!$A$111:$A$131,CONDUCTORES!$C$111:$C$131),LOOKUP(S19,CONDUCTORES!$A$111:$A$131,CONDUCTORES!$B$111:$B$131))),BB19),CONDUCTORES!$L$83:$N$97,IF(AQ19="Al",2,3),FALSE))/IF(BB19="No",1,BA19))*(G19/1000))))/1000)</f>
        <v>16.039926693863787</v>
      </c>
      <c r="U19" s="830">
        <v>0.02</v>
      </c>
      <c r="V19" s="1062" t="str">
        <f t="shared" si="1"/>
        <v>ALUMINIO, XHHW-2, 600 V, 90°C, Monopolar</v>
      </c>
      <c r="W19" s="1055" t="str">
        <f>IF(Z19="AÉREO",CONCATENATE(AN19,"x[3x(1x",AM19,")] + ",AN19,"x(1Nx",(VLOOKUP(BU19,CONDUCTORES!$A$156:$Y$161,25,FALSE))," AWG)"),IF(AND(AO19="Multiconductor",AY19="SI"),(CONCATENATE(AN19,"x(",IF(AO19="Monopolar",L19,IF(AW19="Motor Alimentado de VFD",3,MID(AP19,1,1))),"x",AM19,IF(AW19="Motor Alimentado de VFD",,")")," + ",IF(BD19="No","",CONCATENATE(" ",AN19,"x(",BC19,"Nx",BD19,") + ")),IF(AW19="Motor Alimentado de VFD",,IF(ISERROR(VLOOKUP(D19,'H4-CANALIZACIONES'!$C$28:$AN$40,COLUMN('H4-CANALIZACIONES'!#REF!),FALSE))=TRUE,AN19,VLOOKUP(D19,'H4-CANALIZACIONES'!$C$28:$AN$40,COLUMN('H4-CANALIZACIONES'!#REF!),FALSE))),IF(AW19="Motor Alimentado de VFD",,"x("),IF(BB19="No",IF(AW19="Motor Alimentado de VFD",3,1),BA19),"Gx",(IF(AQ19="Al",IF(AW19="Motor Alimentado de VFD",VLOOKUP(AM19,CONDUCTORES!$H$84:$J$98,3,FALSE),IF(BB19="No",LOOKUP(S19,CONDUCTORES!$A$111:$A$131,CONDUCTORES!$C$111:$C$131),BB19)),IF(AW19="Motor Alimentado de VFD",VLOOKUP(AM19,CONDUCTORES!$H$84:$J$98,3,FALSE),IF(BB19="No",LOOKUP(S19,CONDUCTORES!$A$111:$A$131,CONDUCTORES!$B$111:$B$131),BB19)))),")")),(IF(AO19="Multiconductor",CONCATENATE(AN19,"x(",IF(AO19="Monopolar",L19,IF(AW19="Motor Alimentado de VFD",3,MID(AP19,1,1))),"x",AM19,IF(AW19="Motor Alimentado de VFD",CONCATENATE(" + 3Gx",VLOOKUP(AM19,CONDUCTORES!$H$84:$J$98,3,FALSE)),""),")"),(IF(AND(K19=480,AY19="No"),CONCATENATE(AN19,"x[",L19,"x(1x",AM19,")]",IF(BD19="No","",CONCATENATE(" ",AN19,"x(",BC19,"Nx",BD19,")"))),IF(AND(AO19="Monopolar",K19&lt;&gt;34500,Z19&lt;&gt;"BANDEJA"),CONCATENATE(AN19,"x[",L19,"x(1x",AM19,")] + ",IF(BD19="No","",CONCATENATE(" ",AN19,"x(",BC19,"Nx",BD19,") + ")),IF(ISERROR(VLOOKUP(D19,'H4-CANALIZACIONES'!$C$28:$AN$40,COLUMN('H4-CANALIZACIONES'!#REF!),FALSE))=TRUE,'H4-CANALIZACIONES'!AO29,VLOOKUP(D19,'H4-CANALIZACIONES'!$C$28:$AN$40,COLUMN('H4-CANALIZACIONES'!#REF!),FALSE)),"x(",IF(BB19="No",1,BA19),"Gx",(IF(AQ19="Al",IF(AW19="Motor Alimentado de VFD",VLOOKUP(AM19,CONDUCTORES!$H$84:$J$98,3,FALSE),IF(BB19="No",LOOKUP(S19,CONDUCTORES!$A$111:$A$131,CONDUCTORES!$C$111:$C$131),BB19)),IF(AW19="Motor Alimentado de VFD",VLOOKUP(AM19,CONDUCTORES!$H$84:$J$98,3,FALSE),IF(BB19="No",LOOKUP(S19,CONDUCTORES!$A$111:$A$131,CONDUCTORES!$B$111:$B$131),BB19)))),")"),IF(K19=34500,CONCATENATE(AN19,"x[",L19,"x(1x",AM19,")]"),IF(AND(AY19="SI"),CONCATENATE(AN19,"x[",IF(AO19="Monopolar",L19,MID(AP19,1,1)),"x(1x",AM19,")] + ",IF(BD19="No","",CONCATENATE(" ",AN19,"x(",BC19,"Nx",BD19,") + ")),1,"x(",IF(BB19="No",1,BA19),"Gx",(IF(AQ19="Al",IF(AW19="Motor Alimentado de VFD",VLOOKUP(AM19,CONDUCTORES!$H$84:$J$98,3,FALSE),IF(BB19="No",LOOKUP(S19,CONDUCTORES!$A$111:$A$131,CONDUCTORES!$C$111:$C$131),BB19)),IF(AW19="Motor Alimentado de VFD",VLOOKUP(AM19,CONDUCTORES!$H$84:$J$98,3,FALSE),IF(BB19="No",LOOKUP(S19,CONDUCTORES!$A$111:$A$131,CONDUCTORES!$B$111:$B$131),BB19)))),")"),CONCATENATE(AN19,"x(",IF(AO19="Monopolar",L19,MID(AP19,1,1)),"x",AM19,")"))))))))))</f>
        <v>2x[3x(1x2/0 AWG)] + 1x(2Gx4 AWG)</v>
      </c>
      <c r="X19" s="1062" t="str">
        <f>IF(AND(AN19&gt;=2,OR(AM19="12 AWG",AM19="10 AWG",AM19="8 AWG",AM19="6 AWG",AM19="4 AWG",AM19="2 AWG")),"NO SE PERMITEN "&amp;AN19&amp;" CONDUCTORES DE "&amp;AM19&amp;"",""&amp;IF(AN19=1,"",IF(AN19=2,"1/2-",IF(AN19=3,"1/2/3-",IF(AN19=4,"1/2/3/4-",IF(AN19=5,"1/2/3/4/5-",IF(AN19=6,"1/2/3/4/5/6-",IF(AN19=7,"1/2/3/4/5/6/7-",IF(AN19=8,"1/2/3/4/5/6/7/8-",IF(AN19=9,"1/2/3/4/5/6/7/8/9-","1/2/3/4/5/6/7/8/9/10-")))))))))&amp;""&amp;IF(MID(D19,1,1)="H","H",IF(MID(D19,1,3)="ILU","A","P"))&amp;"-"&amp;IF(OR(AND(AO19="Monopolar",AY19="SI"),AND(AO19="Multiconductor",AP19="4/C  -")),"06",IF(AND(AO19="Monopolar",AY19="No"),"05",IF(AND(AO19="Multiconductor",AP19="3/C  -",AY19="No"),IF(AW19="Motor Alimentado de VFD","06",IF(AND(AO19="Multiconductor",AP19="2/C  -",AY19="No"),"01",IF(AW19="Otra Carga","02","04"))))))&amp;"-"&amp;VLOOKUP(K19,'CODIFICACIÓN ECO'!$F$5:$G$21,2,FALSE)&amp;"-"&amp;D19&amp;"")</f>
        <v>1/2-P-06-08-LPB E0701-BT</v>
      </c>
      <c r="Y19" s="1061">
        <f>IF(Z19="AÉREO",LOOKUP(BU19,CONDUCTORES!$A$156:$A$161,CONDUCTORES!$P$156:$P$161),IF(AND(Z19="BANDEJA",AQ19="Cu",OR(AV19=0,AV19=1)),LOOKUP(BU19,CONDUCTORES!$A$9:$A$62,CONDUCTORES!$M$9:$M$62),IF(AND(OR(Z19="BANCO DE DUCTOS",Z19="TUBO"),AQ19="Cu"),LOOKUP(BU19,CONDUCTORES!$A$9:$A$62,CONDUCTORES!$L$9:$L$62),IF(AND(Z19="BANDEJA",AQ19="Al",OR(AV19=0,AV19=1)),LOOKUP(BU19,CONDUCTORES!$A$9:$A$62,CONDUCTORES!$P$9:$P$62),IF(AND(OR(Z19="BANCO DE DUCTOS",Z19="TUBO"),AQ19="Al"),LOOKUP(BU19,CONDUCTORES!$A$9:$A$62,CONDUCTORES!$O$9:$O$62),IF(AND(Z19="BANDEJA",AQ19="Cu",AV19=2.15),LOOKUP(BU19,CONDUCTORES!$A$9:$A$62,CONDUCTORES!$N$9:$N$62),IF(AND(Z19="BANDEJA",AQ19="Al",AV19=2.15),LOOKUP(BU19,CONDUCTORES!$A$9:$A$62,CONDUCTORES!$Q$9:$Q$62),"")))))))</f>
        <v>150</v>
      </c>
      <c r="Z19" s="1062" t="s">
        <v>596</v>
      </c>
      <c r="AA19" s="1061">
        <f>IF(ISERROR(VLOOKUP(D19,'H4-CANALIZACIONES'!$C$2:$AN$36,3,FALSE))=TRUE,(IF(AO19="Multiconductor",IF(AW19="Motor Alimentado de VFD",3,IF(K19=120,1,(MID(AP19,1,1))-1)),L19)),IF(MOD(MID(W19,1,1),IF(VLOOKUP(D19,'H4-CANALIZACIONES'!$C$2:$AN$36,COLUMN('H4-CANALIZACIONES'!Y6),FALSE)="--",1,VLOOKUP(D19,'H4-CANALIZACIONES'!$C$26:$AN$36,COLUMN('H4-CANALIZACIONES'!Y6),FALSE)))=0,(MID(W19,1,1)/IF(VLOOKUP(D19,'H4-CANALIZACIONES'!$C$2:$AN$36,COLUMN('H4-CANALIZACIONES'!Y6),FALSE)="--",1,VLOOKUP(D19,'H4-CANALIZACIONES'!$C$26:$AN$36,COLUMN('H4-CANALIZACIONES'!Y6),FALSE)))*(IF(AO19="Multiconductor",IF(AW19="Motor Alimentado de VFD",3,IF(K19=120,1,(MID(AP19,1,1))-1)),L19)),"NO"))</f>
        <v>6</v>
      </c>
      <c r="AB19" s="1056">
        <f>IF(Z19="BANCO DE DUCTOS",BZ19,IF(Z19="BANDEJA",BY19,IF(Z19="TUBO",BZ19,1)))</f>
        <v>0.8</v>
      </c>
      <c r="AC19" s="1063" t="s">
        <v>597</v>
      </c>
      <c r="AD19" s="1064">
        <f>CC19</f>
        <v>1</v>
      </c>
      <c r="AE19" s="1059">
        <f>IFERROR(BR19,"NO SE CALCULA")</f>
        <v>192</v>
      </c>
      <c r="AF19" s="1065">
        <f t="shared" si="2"/>
        <v>0.20388995662975976</v>
      </c>
      <c r="AG19" s="1065">
        <f t="shared" si="3"/>
        <v>0.44334361048558502</v>
      </c>
      <c r="AH19" s="1065">
        <f>1/SQRT(1+POWER((AX19/100),2))</f>
        <v>0.99875233887784465</v>
      </c>
      <c r="AI19" s="831" t="str">
        <f>+IF(R19&lt;=(Y19*AN19),"SI","NO")</f>
        <v>SI</v>
      </c>
      <c r="AJ19" s="832" t="str">
        <f>+IF(AL19="","FALTA DATO",IF(AK19&gt;=AL19,"SI","NO"))</f>
        <v>NO</v>
      </c>
      <c r="AK19" s="812">
        <f>SQRT((IF(AQ19="Cu",0.0297,0.0125))*LOG10((150+(IF(AQ19="Cu",234,228)))/(90+(IF(AQ19="Cu",234,228))))/U19)*LOOKUP(BU19,CONDUCTORES!$A$9:$A$62,CONDUCTORES!$W$9:$W$62)</f>
        <v>28.585003250037449</v>
      </c>
      <c r="AL19" s="758">
        <v>35</v>
      </c>
      <c r="AM19" s="548" t="s">
        <v>814</v>
      </c>
      <c r="AN19" s="548">
        <v>2</v>
      </c>
      <c r="AO19" s="548" t="s">
        <v>599</v>
      </c>
      <c r="AP19" s="548" t="s">
        <v>645</v>
      </c>
      <c r="AQ19" s="341" t="s">
        <v>601</v>
      </c>
      <c r="AR19" s="341" t="s">
        <v>97</v>
      </c>
      <c r="AS19" s="548">
        <v>1</v>
      </c>
      <c r="AT19" s="548">
        <v>1</v>
      </c>
      <c r="AU19" s="548" t="s">
        <v>613</v>
      </c>
      <c r="AV19" s="548">
        <v>1</v>
      </c>
      <c r="AW19" s="549" t="s">
        <v>657</v>
      </c>
      <c r="AX19" s="548">
        <v>5</v>
      </c>
      <c r="AY19" s="550" t="s">
        <v>175</v>
      </c>
      <c r="AZ19" s="547">
        <f>((( IF(L19=1,K19, (K19/SQRT(3))  )     /((((VLOOKUP(AM19,CONDUCTORES!$L$83:$N$97,IF(AQ19="Al",2,3),FALSE))/(AN19))*(G19/1000))+(((VLOOKUP(IF(BB19="No",IF(AO19="Multiconductor",AM19,(IF(AQ19="Al",LOOKUP(S19,CONDUCTORES!$A$111:$A$131,CONDUCTORES!$C$111:$C$131),LOOKUP(S19,CONDUCTORES!$A$111:$A$131,CONDUCTORES!$B$111:$B$131)))),BB19),CONDUCTORES!$L$83:$N$97,IF(AQ19="Al",2,3),FALSE))/IF(BB19="No",1,BA19))*(G19/1000))))/1000)/(S19))*1000</f>
        <v>91.656723964935935</v>
      </c>
      <c r="BA19" s="548">
        <v>2</v>
      </c>
      <c r="BB19" s="548" t="s">
        <v>810</v>
      </c>
      <c r="BC19" s="548">
        <v>1</v>
      </c>
      <c r="BD19" s="548" t="s">
        <v>605</v>
      </c>
      <c r="BE19" s="565">
        <f>BG19*((IF(Z19="BANDEJA",1,VLOOKUP(AA19,'% PORTADORES I'!$A$2:$B$42,2,FALSE)))*(IF(Z19="AÉREO",LOOKUP(BV19,CONDUCTORES!$A$156:$A$161,CONDUCTORES!$P$156:$P$161),IF(AND(Z19="BANDEJA",OR(AV19=0,AV19=1)),IF(BH19="Cu",LOOKUP(BV19,CONDUCTORES!$A$9:$A$62,CONDUCTORES!$M$9:$M$62),LOOKUP(BV19,CONDUCTORES!$A$9:$A$62,CONDUCTORES!$P$9:$P$62)),IF(OR(Z19="BANCO DE DUCTOS",Z19="TUBO"),IF(BH19="Cu",LOOKUP(BV19,CONDUCTORES!$A$9:$A$62,CONDUCTORES!$L$9:$L$62),LOOKUP(BV19,CONDUCTORES!$A$9:$A$62,CONDUCTORES!$O$9:$O$62)),IF(AND(Z19="BANDEJA",AV19=2.15),IF(BH19="Cu",LOOKUP(BV19,CONDUCTORES!$A$9:$A$62,CONDUCTORES!$N$9:$N$62),LOOKUP(BV19,CONDUCTORES!$A$9:$A$62,CONDUCTORES!$Q$9:$Q$62))))))))*AD19*AB19</f>
        <v>192</v>
      </c>
      <c r="BF19" s="548" t="str">
        <f>+AM19</f>
        <v>2/0 AWG</v>
      </c>
      <c r="BG19" s="548">
        <f t="shared" ref="BG19:BG26" si="11">+AN19</f>
        <v>2</v>
      </c>
      <c r="BH19" s="341" t="s">
        <v>601</v>
      </c>
      <c r="BI19" s="641" t="str">
        <f>IF(AO19="Monopolar","1/C  -",AP19)</f>
        <v>1/C  -</v>
      </c>
      <c r="BJ19" s="618">
        <f>IF(Z19="AÉREO",LOOKUP(BU19,CONDUCTORES!$A$156:$A$161,CONDUCTORES!$D$156:$D$161),LOOKUP(BU19,CONDUCTORES!$A$9:$A$62,CONDUCTORES!$D$9:$D$62))</f>
        <v>13.41</v>
      </c>
      <c r="BK19" s="621">
        <f>LOOKUP(BU19,CONDUCTORES!$A$9:$A$62,CONDUCTORES!$R$9:$R$62)</f>
        <v>24</v>
      </c>
      <c r="BL19" s="619">
        <f>IF(AQ19="Cu",LOOKUP(BU19,CONDUCTORES!$A$9:$A$62,CONDUCTORES!$H$9:$H$62),IF(AQ19="Al",LOOKUP(BU19,CONDUCTORES!$A$9:$A$62,CONDUCTORES!$J$9:$J$62),"Err Material"))</f>
        <v>0.55098750000000007</v>
      </c>
      <c r="BM19" s="619">
        <f>LOOKUP(BU19,CONDUCTORES!$A$9:$A$62,CONDUCTORES!$I$9:$I$62)</f>
        <v>0.17716535433070865</v>
      </c>
      <c r="BN19" s="620">
        <f t="shared" si="4"/>
        <v>300</v>
      </c>
      <c r="BO19" s="625">
        <f>CB19</f>
        <v>1</v>
      </c>
      <c r="BP19" s="620" t="str">
        <f>IF(BR19&gt;Q19,Listas!C$2,Listas!C$3)</f>
        <v>Si</v>
      </c>
      <c r="BQ19" s="620" t="str">
        <f>IF(AF19&lt;$BQ$12*100,Listas!C$2,Listas!C$3)</f>
        <v>Si</v>
      </c>
      <c r="BR19" s="621">
        <f>AN19*((IF(Z19="BANDEJA",1,VLOOKUP(AA19,'% PORTADORES I'!$A$2:$B$42,2,FALSE)))*(Y19))*AD19*AB19</f>
        <v>192</v>
      </c>
      <c r="BS19" s="621">
        <f t="shared" si="5"/>
        <v>172.53326917676932</v>
      </c>
      <c r="BT19" s="642" t="str">
        <f t="shared" si="6"/>
        <v>2/0 AWG</v>
      </c>
      <c r="BU19" s="622">
        <f>IF(AO19="Monopolar",VLOOKUP(AM19,CONDUCTORES!$B$9:$X$23,23,FALSE),IF(AND(AM19="12 AWG",AO19="Multiconductor",AP19="2/C  -"),16,IF(AND(AM19="12 AWG",AO19="Multiconductor",AP19="3/C  -"),17,IF(AND(AM19="12 AWG",AO19="Multiconductor",AP19="4/C  -"),18,IF(AND(AM19="10 AWG",AO19="Multiconductor",AP19="2/C  -"),19,IF(AND(AM19="10 AWG",AO19="Multiconductor",AP19="3/C  -"),20,IF(AND(AM19="10 AWG",AO19="Multiconductor",AP19="4/C  -"),21,IF(AND(AM19="8 AWG",AO19="Multiconductor",AP19="2/C  -"),22,IF(AND(AM19="8 AWG",AO19="Multiconductor",AP19="3/C  -"),23,IF(AND(AM19="8 AWG",AO19="Multiconductor",AP19="4/C  -"),24,IF(AND(AM19="6 AWG",AO19="Multiconductor",AP19="2/C  -"),25,IF(AND(AM19="6 AWG",AO19="Multiconductor",AP19="3/C  -"),26,IF(AND(AM19="6 AWG",AO19="Multiconductor",AP19="4/C  -"),27,IF(AND(AM19="4 AWG",AO19="Multiconductor",AP19="2/C  -"),28,IF(AND(AM19="4 AWG",AO19="Multiconductor",AP19="3/C  -"),29,IF(AND(AM19="4 AWG",AO19="Multiconductor",AP19="4/C  -"),30,IF(AND(AM19="2 AWG",AO19="Multiconductor",AP19="2/C  -"),31,IF(AND(AM19="2 AWG",AO19="Multiconductor",AP19="3/C  -"),32,IF(AND(AM19="2 AWG",AO19="Multiconductor",AP19="4/C  -"),33,IF(AND(AM19="1/0 AWG",AO19="Multiconductor",AP19="2/C  -"),34,IF(AND(AM19="1/0 AWG",AO19="Multiconductor",AP19="3/C  -"),35,IF(AND(AM19="1/0 AWG",AO19="Multiconductor",AP19="4/C  -"),36,IF(AND(AM19="2/0 AWG",AO19="Multiconductor",AP19="2/C  -"),37,IF(AND(AM19="2/0 AWG",AO19="Multiconductor",AP19="3/C  -"),38,IF(AND(AM19="2/0 AWG",AO19="Multiconductor",AP19="4/C  -"),39,IF(AND(AM19="3/0 AWG",AO19="Multiconductor",AP19="2/C  -"),40,IF(AND(AM19="3/0 AWG",AO19="Multiconductor",AP19="3/C  -"),41,IF(AND(AM19="3/0 AWG",AO19="Multiconductor",AP19="4/C  -"),42,IF(AND(AM19="4/0 AWG",AO19="Multiconductor",AP19="2/C  -"),43,IF(AND(AM19="4/0 AWG",AO19="Multiconductor",AP19="3/C  -"),44,IF(AND(AM19="4/0 AWG",AO19="Multiconductor",AP19="4/C  -"),45,IF(AND(AM19="250 kcmil",AO19="Multiconductor",AP19="2/C  -"),46,IF(AND(AM19="250 kcmil",AO19="Multiconductor",AP19="3/C  -"),47,IF(AND(AM19="250 kcmil",AO19="Multiconductor",AP19="4/C  -"),48,IF(AND(AM19="350 kcmil",AO19="Multiconductor",AP19="2/C  -"),49,IF(AND(AM19="350 kcmil",AO19="Multiconductor",AP19="3/C  -"),50,IF(AND(AM19="350 kcmil",AO19="Multiconductor",AP19="4/C  -"),51,IF(AND(AM19="500 kcmil",AO19="Multiconductor",AP19="2/C  -"),52,IF(AND(AM19="500 kcmil",AO19="Multiconductor",AP19="3/C  -"),53,IF(AND(AM19="500 kcmil",AO19="Multiconductor",AP19="4/C  -"),54,FALSE))))))))))))))))))))))))))))))))))))))))</f>
        <v>8</v>
      </c>
      <c r="BV19" s="622">
        <f>IF(AO19="Monopolar",VLOOKUP(BF19,CONDUCTORES!$B$9:$X$23,23,FALSE),IF(AND(BF19="12 AWG",AO19="Multiconductor",AP19="2/C  -"),16,IF(AND(BF19="12 AWG",AO19="Multiconductor",AP19="3/C  -"),17,IF(AND(BF19="12 AWG",AO19="Multiconductor",AP19="4/C  -"),18,IF(AND(BF19="10 AWG",AO19="Multiconductor",AP19="2/C  -"),19,IF(AND(BF19="10 AWG",AO19="Multiconductor",AP19="3/C  -"),20,IF(AND(BF19="10 AWG",AO19="Multiconductor",AP19="4/C  -"),21,IF(AND(BF19="8 AWG",AO19="Multiconductor",AP19="2/C  -"),22,IF(AND(BF19="8 AWG",AO19="Multiconductor",AP19="3/C  -"),23,IF(AND(BF19="8 AWG",AO19="Multiconductor",AP19="4/C  -"),24,IF(AND(BF19="6 AWG",AO19="Multiconductor",AP19="2/C  -"),25,IF(AND(BF19="6 AWG",AO19="Multiconductor",AP19="3/C  -"),26,IF(AND(BF19="6 AWG",AO19="Multiconductor",AP19="4/C  -"),27,IF(AND(BF19="4 AWG",AO19="Multiconductor",AP19="2/C  -"),28,IF(AND(BF19="4 AWG",AO19="Multiconductor",AP19="3/C  -"),29,IF(AND(BF19="4 AWG",AO19="Multiconductor",AP19="4/C  -"),30,IF(AND(BF19="2 AWG",AO19="Multiconductor",AP19="2/C  -"),31,IF(AND(BF19="2 AWG",AO19="Multiconductor",AP19="3/C  -"),32,IF(AND(BF19="2 AWG",AO19="Multiconductor",AP19="4/C  -"),33,IF(AND(BF19="1/0 AWG",AO19="Multiconductor",AP19="2/C  -"),34,IF(AND(BF19="1/0 AWG",AO19="Multiconductor",AP19="3/C  -"),35,IF(AND(BF19="1/0 AWG",AO19="Multiconductor",AP19="4/C  -"),36,IF(AND(BF19="2/0 AWG",AO19="Multiconductor",AP19="2/C  -"),37,IF(AND(BF19="2/0 AWG",AO19="Multiconductor",AP19="3/C  -"),38,IF(AND(BF19="2/0 AWG",AO19="Multiconductor",AP19="4/C  -"),39,IF(AND(BF19="3/0 AWG",AO19="Multiconductor",AP19="2/C  -"),40,IF(AND(BF19="3/0 AWG",AO19="Multiconductor",AP19="3/C  -"),41,IF(AND(BF19="3/0 AWG",AO19="Multiconductor",AP19="4/C  -"),42,IF(AND(BF19="4/0 AWG",AO19="Multiconductor",AP19="2/C  -"),43,IF(AND(BF19="4/0 AWG",AO19="Multiconductor",AP19="3/C  -"),44,IF(AND(BF19="4/0 AWG",AO19="Multiconductor",AP19="4/C  -"),45,IF(AND(BF19="250 kcmil",AO19="Multiconductor",AP19="2/C  -"),46,IF(AND(BF19="250 kcmil",AO19="Multiconductor",AP19="3/C  -"),47,IF(AND(BF19="250 kcmil",AO19="Multiconductor",AP19="4/C  -"),48,IF(AND(BF19="350 kcmil",AO19="Multiconductor",AP19="2/C  -"),49,IF(AND(BF19="350 kcmil",AO19="Multiconductor",AP19="3/C  -"),50,IF(AND(BF19="350 kcmil",AO19="Multiconductor",AP19="4/C  -"),51,IF(AND(BF19="500 kcmil",AO19="Multiconductor",AP19="2/C  -"),52,IF(AND(BF19="500 kcmil",AO19="Multiconductor",AP19="3/C  -"),53,IF(AND(BF19="500 kcmil",AO19="Multiconductor",AP19="4/C  -"),54,FALSE))))))))))))))))))))))))))))))))))))))))</f>
        <v>8</v>
      </c>
      <c r="BW19" s="623">
        <f>BS19/BR19</f>
        <v>0.89861077696234026</v>
      </c>
      <c r="BX19" s="624">
        <f>CA19</f>
        <v>1</v>
      </c>
      <c r="BY19" s="625">
        <f t="shared" si="7"/>
        <v>0.6</v>
      </c>
      <c r="BZ19" s="625">
        <f t="shared" si="8"/>
        <v>0.8</v>
      </c>
      <c r="CA19" s="626">
        <f>IF(AS19&gt;4,"# FILAS Fuera de rango",IF(AT19&gt;15,"#COLUMNAS Fuera de rango",IF(BU19=0,"CALIBRE CABLE CERO",IF(OR(BU19=1,BU19=16,BU19=17,BU19=18),INDEX('0-5000'!$D$4:$R$7,AS19,AT19),IF(OR(BU19=2,BU19=19,BU19=20,BU19=21),INDEX('0-5000'!$D$8:$R$11,AS19,AT19),IF(OR(BU19=3,BU19=22,BU19=23,BU19=24),INDEX('0-5000'!$D$12:$R$15,AS19,AT19),IF(OR(BU19=4,BU19=25,BU19=26,BU19=27),INDEX('0-5000'!$D$16:$R$19,AS19,AT19),CB19)))))))</f>
        <v>1</v>
      </c>
      <c r="CB19" s="627">
        <f>IF(OR(BU19=1,BU19=16,BU19=17,BU19=18),INDEX('0-5000'!$D$4:$R$7,AS19,AT19),IF(OR(BU19=2,BU19=19,BU19=20,BU19=21),INDEX('0-5000'!$D$8:$R$11,AS19,AT19),IF(OR(BU19=3,BU19=22,BU19=23,BU19=24),INDEX('0-5000'!$D$12:$R$15,AS19,AT19),IF(OR(BU19=4,BU19=25,BU19=26,BU19=27),INDEX('0-5000'!$D$18:$R$19,AS19,AT19),IF(OR(BU19=5,BU19=28,BU19=29,BU19=30),INDEX('0-5000'!$D$20:$R$23,AS19,AT19),IF(OR(BU19=6,BU19=31,BU19=32,BU19=33),INDEX('0-5000'!$D$24:$R$27,AS19,AT19),IF(OR(BU19=7,BU19=34,BU19=35,BU19=36),INDEX('0-5000'!$D$32:$R$35,AS19,AT19),IF(OR(BU19=8,BU19=37,BU19=38,BU19=39),INDEX('0-5000'!$D$36:$R$39,AS19,AT19),IF(OR(BU19=9,BU19=40,BU19=41,BU19=42),INDEX('0-5000'!$D$40:$R$43,AS19,AT19),IF(OR(BU19=10,BU19=43,BU19=44,BU19=45),INDEX('0-5000'!$D$44:$R$47,AS19,AT19),IF(OR(BU19=11,BU19=46,BU19=47,BU19=48),INDEX('0-5000'!$D$48:$R$51,AS19,AT19),IF(OR(BU19=12,BU19=49,BU19=50,BU19=51),INDEX('0-5000'!$D$52:$R$55,AS19,AT19),IF(OR(BU19=13,BU19=52,BU19=53,BU19=54),INDEX('0-5000'!$D$56:$R$59,AS19,AT19),IF(OR(BU19=14,BU19=55,BU19=56,BU19=57),INDEX('0-5000'!$D$60:$R$63,AS19,AT19),IF(BU19=15,INDEX('0-5000'!$D$64:$R$67,AS19,AT19),"# CABLE Fuera de Rango")))))))))))))))</f>
        <v>1</v>
      </c>
      <c r="CC19" s="643">
        <f>VLOOKUP($AC19,Listas!$A$20:$B$29,2,FALSE)</f>
        <v>1</v>
      </c>
      <c r="CD19" s="616">
        <f t="shared" si="9"/>
        <v>2</v>
      </c>
    </row>
    <row r="20" spans="2:82" ht="60" customHeight="1" x14ac:dyDescent="0.25">
      <c r="B20" s="338">
        <f>+IF(OR(CD20=0,CD20=1),0,COUNTIF(CD$15:CD20,CD20))</f>
        <v>3</v>
      </c>
      <c r="C20" s="819" t="str">
        <f>+_xlfn.CONCAT($C$17,".",SUBTOTAL(103,$D$18:D20))</f>
        <v>2.1.3</v>
      </c>
      <c r="D20" s="820" t="str">
        <f>+Longitudes!C12</f>
        <v>PE04</v>
      </c>
      <c r="E20" s="821" t="s">
        <v>1995</v>
      </c>
      <c r="F20" s="1040" t="str">
        <f>+Longitudes!B12</f>
        <v>LPB E0701-BT</v>
      </c>
      <c r="G20" s="1311">
        <v>228</v>
      </c>
      <c r="H20" s="828"/>
      <c r="I20" s="1312">
        <f>I19</f>
        <v>114.61</v>
      </c>
      <c r="J20" s="829" t="s">
        <v>595</v>
      </c>
      <c r="K20" s="827">
        <v>480</v>
      </c>
      <c r="L20" s="827">
        <v>3</v>
      </c>
      <c r="M20" s="830">
        <f>+'H1-CUADRO DE CARGAS'!$M$12</f>
        <v>0.79600000000000004</v>
      </c>
      <c r="N20" s="830">
        <f>+'H1-CUADRO DE CARGAS'!$O$12</f>
        <v>0.94099999999999995</v>
      </c>
      <c r="O20" s="1045">
        <f>(IF(L20=1,IF(J20="HP",(I20*746)/(K20*M20),IF(J20="kVA",I20*1000/K20,IF(J20="kW",I20*1000/(K20*M20),""))),IF(L20=3,IF(J20="HP",IF(OR(K20=4160,K20=34500),((I20*0.746)/M20)*1000/(SQRT(3)*K20*N20),IF(AND(K20&lt;=480,K20&gt;=440),VLOOKUP(I20,'I Plena Carga'!$C$3:$I$29,7),IF(AND(K20&lt;=240,K20&gt;=220),VLOOKUP(I20,'I Plena Carga'!$C$3:$G$29,5),IF(K20=208,VLOOKUP(I20,'I Plena Carga'!$C$3:$F$29,4),IF(AND(K20&lt;=127,K20&gt;=110),VLOOKUP(I20,'I Plena Carga'!$C$3:$D$29,2),""))))),IF(J20="kVA",I20*1000/(SQRT(3)*K20),IF(J20="kW",I20*1000/(SQRT(3)*K20*M20),""))),IF(L20=2,IF(J20="HP",(I20*746)/(K20*M20),IF(J20="kVA",I20*1000/(K20),IF(J20="kW",I20*1000/(K20*M20),""))),"Rev.#Fases"))))*(SQRT(1+((AX20/100)^2)))</f>
        <v>138.02661534141546</v>
      </c>
      <c r="P20" s="1046" t="str">
        <f t="shared" si="10"/>
        <v>N/A</v>
      </c>
      <c r="Q20" s="1047">
        <f>O20*1.25</f>
        <v>172.53326917676932</v>
      </c>
      <c r="R20" s="1047">
        <f t="shared" ref="R20" si="12">IF(OR(MID(D20,1,1)="J"),"N/A",S20)</f>
        <v>175</v>
      </c>
      <c r="S20" s="1047">
        <f>(IF((IF(OR(AW20="Trafo Primario",AW20="Trafo Primario - Secundario",AW20="Protección Tablero"),BS20,Q20))&lt;CONDUCTORES!$E$111,CONDUCTORES!$E$111,IF((IF(OR(AW20="Trafo Primario",AW20="Trafo Primario - Secundario",AW20="Protección Tablero"),BS20,Q20))&lt;CONDUCTORES!$E$112,CONDUCTORES!$E$112,IF((IF(OR(AW20="Trafo Primario",AW20="Trafo Primario - Secundario",AW20="Protección Tablero"),BS20,Q20))&lt;CONDUCTORES!$E$113,CONDUCTORES!$E$113,IF((IF(OR(AW20="Trafo Primario",AW20="Trafo Primario - Secundario",AW20="Protección Tablero"),BS20,Q20))&lt;CONDUCTORES!$E$114,CONDUCTORES!$E$114,IF((IF(OR(AW20="Trafo Primario",AW20="Trafo Primario - Secundario",AW20="Protección Tablero"),BS20,Q20))&lt;CONDUCTORES!$E$115,CONDUCTORES!$E$115,IF((IF(OR(AW20="Trafo Primario",AW20="Trafo Primario - Secundario",AW20="Protección Tablero"),BS20,Q20))&lt;CONDUCTORES!$E$116,CONDUCTORES!$E$116,IF((IF(OR(AW20="Trafo Primario",AW20="Trafo Primario - Secundario",AW20="Protección Tablero"),BS20,Q20))&lt;CONDUCTORES!$E$117,CONDUCTORES!$E$117,IF((IF(OR(AW20="Trafo Primario",AW20="Trafo Primario - Secundario",AW20="Protección Tablero"),BS20,Q20))&lt;CONDUCTORES!$E$118,CONDUCTORES!$E$118,IF((IF(OR(AW20="Trafo Primario",AW20="Trafo Primario - Secundario",AW20="Protección Tablero"),BS20,Q20))&lt;CONDUCTORES!$E$119,CONDUCTORES!$E$119,IF((IF(OR(AW20="Trafo Primario",AW20="Trafo Primario - Secundario",AW20="Protección Tablero"),BS20,Q20))&lt;CONDUCTORES!$E$120,CONDUCTORES!$E$120,IF((IF(OR(AW20="Trafo Primario",AW20="Trafo Primario - Secundario",AW20="Protección Tablero"),BS20,Q20))&lt;CONDUCTORES!$E$121,CONDUCTORES!$E$121,IF((IF(AND(AW20="Trafo Primario",AW20="Trafo Primario - Secundario",AW20="Protección Tablero"),BS20,Q20))&lt;CONDUCTORES!$E$122,CONDUCTORES!$E$122,IF((IF(OR(AW20="Trafo Primario",AW20="Trafo Primario - Secundario",AW20="Protección Tablero"),BS20,Q20))&lt;CONDUCTORES!$E$123,CONDUCTORES!$E$123,IF((IF(OR(AW20="Trafo Primario",AW20="Trafo Primario - Secundario",AW20="Protección Tablero"),BS20,Q20))&lt;CONDUCTORES!$E$124,CONDUCTORES!$E$124,IF((IF(OR(AW20="Trafo Primario",AW20="Trafo Primario - Secundario",AW20="Protección Tablero"),BS20,Q20))&lt;CONDUCTORES!$E$125,CONDUCTORES!$E$125,IF((IF(OR(AW20="Trafo Primario",AW20="Trafo Primario - Secundario",AW20="Protección Tablero"),BS20,Q20))&lt;CONDUCTORES!$E$126,CONDUCTORES!$E$126,IF((IF(OR(AW20="Trafo Primario",AW20="Trafo Primario - Secundario",AW20="Protección Tablero"),BS20,Q20))&lt;CONDUCTORES!$E$127,CONDUCTORES!$E$127,IF((IF(OR(AW20="Trafo Primario",AW20="Trafo Primario - Secundario",AW20="Protección Tablero"),BS20,Q20))&lt;CONDUCTORES!$E$128,CONDUCTORES!$E$128,IF((IF(OR(AW20="Trafo Primario",AW20="Trafo Primario - Secundario",AW20="Protección Tablero"),BS20,Q20))&lt;CONDUCTORES!$E$129,CONDUCTORES!$E$129,IF((IF(OR(AW20="Trafo Primario",AW20="Trafo Primario - Secundario",AW20="Protección Tablero"),BS20,Q20))&lt;CONDUCTORES!$E$130,CONDUCTORES!$E$130,IF((IF(OR(AW20="Trafo Primario",AW20="Trafo Primario - Secundario",AW20="Protección Tablero"),BS20,Q20))&lt;CONDUCTORES!$E$131,CONDUCTORES!$E$131,IF((IF(OR(AW20="Trafo Primario",AW20="Trafo Primario - Secundario",AW20="Protección Tablero"),BS20,Q20))&lt;CONDUCTORES!$E$132,CONDUCTORES!$E$132,IF((IF(OR(AW20="Trafo Primario",AW20="Trafo Primario - Secundario",AW20="Protección Tablero"),BS20,Q20))&lt;CONDUCTORES!$E$133,CONDUCTORES!$E$133,IF((IF(OR(AW20="Trafo Primario",AW20="Trafo Primario - Secundario",AW20="Protección Tablero"),BS20,Q20))&lt;CONDUCTORES!$E$134,CONDUCTORES!$E$134,IF((IF(OR(AW20="Trafo Primario",AW20="Trafo Primario - Secundario",AW20="Protección Tablero"),BS20,Q20))&lt;CONDUCTORES!$E$135,CONDUCTORES!$E$135,IF((IF(OR(AW20="Trafo Primario",AW20="Trafo Primario - Secundario",AW20="Protección Tablero"),BS20,Q20))&lt;CONDUCTORES!$E$136,CONDUCTORES!$E$136,IF((IF(OR(AW20="Trafo Primario",AW20="Trafo Primario - Secundario",AW20="Protección Tablero"),BS20,Q20))&lt;CONDUCTORES!$E$137,CONDUCTORES!$E$137,IF((IF(OR(AW20="Trafo Primario",AW20="Trafo Primario - Secundario",AW20="Protección Tablero"),BS20,Q20))&lt;CONDUCTORES!$E$138,CONDUCTORES!$E$138,IF((IF(OR(AW20="Trafo Primario",AW20="Trafo Primario - Secundario",AW20="Protección Tablero"),BS20,Q20))&lt;CONDUCTORES!$E$139,CONDUCTORES!$E$139,IF((IF(OR(AW20="Trafo Primario",AW20="Trafo Primario - Secundario",AW20="Protección Tablero"),BS20,Q20))&lt;CONDUCTORES!$E$140,CONDUCTORES!$E$140,IF((IF(OR(AW20="Trafo Primario",AW20="Trafo Primario - Secundario",AW20="Protección Tablero"),BS20,Q20))&lt;CONDUCTORES!$E$141,CONDUCTORES!$E$141,IF((IF(OR(AW20="Trafo Primario",AW20="Trafo Primario - Secundario",AW20="Protección Tablero"),BS20,Q20))&lt;CONDUCTORES!$E$142,CONDUCTORES!$E$142,IF((IF(OR(AW20="Trafo Primario",AW20="Trafo Primario - Secundario",AW20="Protección Tablero"),BS20,Q20))&lt;CONDUCTORES!$E$143,CONDUCTORES!$E$143,IF((IF(OR(AW20="Trafo Primario",AW20="Trafo Primario - Secundario",AW20="Protección Tablero"),BS20,Q20))&lt;CONDUCTORES!$E$144,CONDUCTORES!$E$144,IF((IF(OR(AW20="Trafo Primario",AW20="Trafo Primario - Secundario",AW20="Protección Tablero"),BS20,Q20))&lt;CONDUCTORES!$E$145,CONDUCTORES!$E$145,IF((IF(OR(AW20="Trafo Primario",AW20="Trafo Primario - Secundario",AW20="Protección Tablero"),BS20,Q20))&lt;CONDUCTORES!$E$146,CONDUCTORES!$E$146,IF((IF(OR(AW20="Trafo Primario",AW20="Trafo Primario - Secundario",AW20="Protección Tablero"),BS20,Q20))&lt;CONDUCTORES!$E$147,CONDUCTORES!$E$147,IF((IF(OR(AW20="Trafo Primario",AW20="Trafo Primario - Secundario",AW20="Protección Tablero"),BS20,Q20))&lt;CONDUCTORES!$E$148,CONDUCTORES!$E$148,IF((IF(OR(AW20="Trafo Primario",AW20="Trafo Primario - Secundario",AW20="Protección Tablero"),BS20,Q20))&lt;CONDUCTORES!$E$149,CONDUCTORES!$E$149,))))))))))))))))))))))))))))))))))))))))</f>
        <v>175</v>
      </c>
      <c r="T20" s="1048">
        <f>IF(AZ20&lt;10,CONCATENATE(ROUND(((IF(L20=1,K20,K20/SQRT(3)))/((((VLOOKUP(AM20,CONDUCTORES!$L$83:$N$97,IF(AQ20="Al",2,3),FALSE))/(AN20))*(G20/1000))+(((VLOOKUP(IF(BB20="No",(IF(AQ20="Al",LOOKUP(S20,CONDUCTORES!$A$111:$A$131,CONDUCTORES!$C$111:$C$131),LOOKUP(S20,CONDUCTORES!$A$111:$A$131,CONDUCTORES!$B$111:$B$131))),BB20),CONDUCTORES!$L$83:$N$97,IF(AQ20="Al",2,3),FALSE))/IF(BB20="No",1,BA20))*(G20/1000))))/1000,2)," &lt; 10*Inp"),((IF(L20=1,K20,K20/SQRT(3)))/((((VLOOKUP(AM20,CONDUCTORES!$L$83:$N$97,IF(AQ20="Al",2,3),FALSE))/(AN20))*(G20/1000))+(((VLOOKUP(IF(BB20="No",(IF(AQ20="Al",LOOKUP(S20,CONDUCTORES!$A$111:$A$131,CONDUCTORES!$C$111:$C$131),LOOKUP(S20,CONDUCTORES!$A$111:$A$131,CONDUCTORES!$B$111:$B$131))),BB20),CONDUCTORES!$L$83:$N$97,IF(AQ20="Al",2,3),FALSE))/IF(BB20="No",1,BA20))*(G20/1000))))/1000)</f>
        <v>3.5309329963325387</v>
      </c>
      <c r="U20" s="830">
        <v>0.02</v>
      </c>
      <c r="V20" s="1062" t="str">
        <f t="shared" ref="V20" si="13">IF(AZ20&lt;10,"AJUSTAR CONDUCTOR DE RETORNO DE TIERRA",IF(AQ20="Al",CONCATENATE("ALUMINIO, ",AR20,","," ",IF(K20=34500,"133%, 35 kV","600 V"),", 90°C, ",IF(AW20="Motor Alimentado de VFD","Cable de VFD",IF(AW20="Motor",AO20,IF(Z20="AÉREO","Cable Autosoportado Con Neutro En ACSR",AO20)))),CONCATENATE("COBRE, ",AR20,","," ",IF(K20=34500,"133%, 35 kV","600 V"),", 90°C, ",IF(AW20="Motor Alimentado de VFD","Cable de VFD",IF(AW20="Motor",AO20,AO20)))))</f>
        <v>ALUMINIO, ACSR, 600 V, 90°C, Cable Autosoportado Con Neutro En ACSR</v>
      </c>
      <c r="W20" s="1055" t="str">
        <f>IF(Z20="AÉREO",CONCATENATE(AN20,"x[3x(1x",AM20,")] + ",AN20,"x(1Nx",(VLOOKUP(BU20,CONDUCTORES!$A$156:$Y$161,25,FALSE))," AWG)"),IF(AND(AO20="Multiconductor",AY20="SI"),(CONCATENATE(AN20,"x(",IF(AO20="Monopolar",L20,IF(AW20="Motor Alimentado de VFD",3,MID(AP20,1,1))),"x",AM20,IF(AW20="Motor Alimentado de VFD",,")")," + ",IF(BD20="No","",CONCATENATE(" ",AN20,"x(",BC20,"Nx",BD20,") + ")),IF(AW20="Motor Alimentado de VFD",,IF(ISERROR(VLOOKUP(D20,'H4-CANALIZACIONES'!$C$28:$AN$40,COLUMN('H4-CANALIZACIONES'!#REF!),FALSE))=TRUE,AN20,VLOOKUP(D20,'H4-CANALIZACIONES'!$C$28:$AN$40,COLUMN('H4-CANALIZACIONES'!#REF!),FALSE))),IF(AW20="Motor Alimentado de VFD",,"x("),IF(BB20="No",IF(AW20="Motor Alimentado de VFD",3,1),BA20),"Gx",(IF(AQ20="Al",IF(AW20="Motor Alimentado de VFD",VLOOKUP(AM20,CONDUCTORES!$H$84:$J$98,3,FALSE),IF(BB20="No",LOOKUP(S20,CONDUCTORES!$A$111:$A$131,CONDUCTORES!$C$111:$C$131),BB20)),IF(AW20="Motor Alimentado de VFD",VLOOKUP(AM20,CONDUCTORES!$H$84:$J$98,3,FALSE),IF(BB20="No",LOOKUP(S20,CONDUCTORES!$A$111:$A$131,CONDUCTORES!$B$111:$B$131),BB20)))),")")),(IF(AO20="Multiconductor",CONCATENATE(AN20,"x(",IF(AO20="Monopolar",L20,IF(AW20="Motor Alimentado de VFD",3,MID(AP20,1,1))),"x",AM20,IF(AW20="Motor Alimentado de VFD",CONCATENATE(" + 3Gx",VLOOKUP(AM20,CONDUCTORES!$H$84:$J$98,3,FALSE)),""),")"),(IF(AND(K20=480,AY20="No"),CONCATENATE(AN20,"x[",L20,"x(1x",AM20,")]",IF(BD20="No","",CONCATENATE(" ",AN20,"x(",BC20,"Nx",BD20,")"))),IF(AND(AO20="Monopolar",K20&lt;&gt;34500,Z20&lt;&gt;"BANDEJA"),CONCATENATE(AN20,"x[",L20,"x(1x",AM20,")] + ",IF(BD20="No","",CONCATENATE(" ",AN20,"x(",BC20,"Nx",BD20,") + ")),IF(ISERROR(VLOOKUP(D20,'H4-CANALIZACIONES'!$C$28:$AN$40,COLUMN('H4-CANALIZACIONES'!#REF!),FALSE))=TRUE,'H4-CANALIZACIONES'!AO30,VLOOKUP(D20,'H4-CANALIZACIONES'!$C$28:$AN$40,COLUMN('H4-CANALIZACIONES'!#REF!),FALSE)),"x(",IF(BB20="No",1,BA20),"Gx",(IF(AQ20="Al",IF(AW20="Motor Alimentado de VFD",VLOOKUP(AM20,CONDUCTORES!$H$84:$J$98,3,FALSE),IF(BB20="No",LOOKUP(S20,CONDUCTORES!$A$111:$A$131,CONDUCTORES!$C$111:$C$131),BB20)),IF(AW20="Motor Alimentado de VFD",VLOOKUP(AM20,CONDUCTORES!$H$84:$J$98,3,FALSE),IF(BB20="No",LOOKUP(S20,CONDUCTORES!$A$111:$A$131,CONDUCTORES!$B$111:$B$131),BB20)))),")"),IF(K20=34500,CONCATENATE(AN20,"x[",L20,"x(1x",AM20,")]"),IF(AND(AY20="SI"),CONCATENATE(AN20,"x[",IF(AO20="Monopolar",L20,MID(AP20,1,1)),"x(1x",AM20,")] + ",IF(BD20="No","",CONCATENATE(" ",AN20,"x(",BC20,"Nx",BD20,") + ")),1,"x(",IF(BB20="No",1,BA20),"Gx",(IF(AQ20="Al",IF(AW20="Motor Alimentado de VFD",VLOOKUP(AM20,CONDUCTORES!$H$84:$J$98,3,FALSE),IF(BB20="No",LOOKUP(S20,CONDUCTORES!$A$111:$A$131,CONDUCTORES!$C$111:$C$131),BB20)),IF(AW20="Motor Alimentado de VFD",VLOOKUP(AM20,CONDUCTORES!$H$84:$J$98,3,FALSE),IF(BB20="No",LOOKUP(S20,CONDUCTORES!$A$111:$A$131,CONDUCTORES!$B$111:$B$131),BB20)))),")"),CONCATENATE(AN20,"x(",IF(AO20="Monopolar",L20,MID(AP20,1,1)),"x",AM20,")"))))))))))</f>
        <v>2x[3x(1x4/0 AWG)] + 2x(1Nx4/0 AWG)</v>
      </c>
      <c r="X20" s="1062" t="str">
        <f>IF(AND(AN20&gt;=2,OR(AM20="12 AWG",AM20="10 AWG",AM20="8 AWG",AM20="6 AWG",AM20="4 AWG",AM20="2 AWG")),"NO SE PERMITEN "&amp;AN20&amp;" CONDUCTORES DE "&amp;AM20&amp;"",""&amp;IF(AN20=1,"",IF(AN20=2,"1/2-",IF(AN20=3,"1/2/3-",IF(AN20=4,"1/2/3/4-",IF(AN20=5,"1/2/3/4/5-",IF(AN20=6,"1/2/3/4/5/6-",IF(AN20=7,"1/2/3/4/5/6/7-",IF(AN20=8,"1/2/3/4/5/6/7/8-",IF(AN20=9,"1/2/3/4/5/6/7/8/9-","1/2/3/4/5/6/7/8/9/10-")))))))))&amp;""&amp;IF(MID(D20,1,1)="H","H",IF(MID(D20,1,3)="ILU","A","P"))&amp;"-"&amp;IF(OR(AND(AO20="Monopolar",AY20="SI"),AND(AO20="Multiconductor",AP20="4/C  -")),"06",IF(AND(AO20="Monopolar",AY20="No"),"05",IF(AND(AO20="Multiconductor",AP20="3/C  -",AY20="No"),IF(AW20="Motor Alimentado de VFD","06",IF(AND(AO20="Multiconductor",AP20="2/C  -",AY20="No"),"01",IF(AW20="Otra Carga","02","04"))))))&amp;"-"&amp;VLOOKUP(K20,'CODIFICACIÓN ECO'!$F$5:$G$21,2,FALSE)&amp;"-"&amp;D20&amp;"")</f>
        <v>1/2-P-06-08-PE04</v>
      </c>
      <c r="Y20" s="1061">
        <f>IF(Z20="AÉREO",LOOKUP(BU20,CONDUCTORES!$A$156:$A$161,CONDUCTORES!$P$156:$P$161),IF(AND(Z20="BANDEJA",AQ20="Cu",OR(AV20=0,AV20=1)),LOOKUP(BU20,CONDUCTORES!$A$9:$A$62,CONDUCTORES!$M$9:$M$62),IF(AND(OR(Z20="BANCO DE DUCTOS",Z20="TUBO"),AQ20="Cu"),LOOKUP(BU20,CONDUCTORES!$A$9:$A$62,CONDUCTORES!$L$9:$L$62),IF(AND(Z20="BANDEJA",AQ20="Al",OR(AV20=0,AV20=1)),LOOKUP(BU20,CONDUCTORES!$A$9:$A$62,CONDUCTORES!$P$9:$P$62),IF(AND(OR(Z20="BANCO DE DUCTOS",Z20="TUBO"),AQ20="Al"),LOOKUP(BU20,CONDUCTORES!$A$9:$A$62,CONDUCTORES!$O$9:$O$62),IF(AND(Z20="BANDEJA",AQ20="Cu",AV20=2.15),LOOKUP(BU20,CONDUCTORES!$A$9:$A$62,CONDUCTORES!$N$9:$N$62),IF(AND(Z20="BANDEJA",AQ20="Al",AV20=2.15),LOOKUP(BU20,CONDUCTORES!$A$9:$A$62,CONDUCTORES!$Q$9:$Q$62),"")))))))</f>
        <v>275</v>
      </c>
      <c r="Z20" s="1062" t="s">
        <v>649</v>
      </c>
      <c r="AA20" s="1061">
        <f>IF(ISERROR(VLOOKUP(D20,'H4-CANALIZACIONES'!$C$2:$AN$36,3,FALSE))=TRUE,(IF(AO20="Multiconductor",IF(AW20="Motor Alimentado de VFD",3,IF(K20=120,1,(MID(AP20,1,1))-1)),L20)),IF(MOD(MID(W20,1,1),IF(VLOOKUP(D20,'H4-CANALIZACIONES'!$C$2:$AN$36,COLUMN('H4-CANALIZACIONES'!Y7),FALSE)="--",1,VLOOKUP(D20,'H4-CANALIZACIONES'!$C$26:$AN$36,COLUMN('H4-CANALIZACIONES'!Y7),FALSE)))=0,(MID(W20,1,1)/IF(VLOOKUP(D20,'H4-CANALIZACIONES'!$C$2:$AN$36,COLUMN('H4-CANALIZACIONES'!Y7),FALSE)="--",1,VLOOKUP(D20,'H4-CANALIZACIONES'!$C$26:$AN$36,COLUMN('H4-CANALIZACIONES'!Y7),FALSE)))*(IF(AO20="Multiconductor",IF(AW20="Motor Alimentado de VFD",3,IF(K20=120,1,(MID(AP20,1,1))-1)),L20)),"NO"))</f>
        <v>6</v>
      </c>
      <c r="AB20" s="1056">
        <f>IF(Z20="BANCO DE DUCTOS",BZ20,IF(Z20="BANDEJA",BY20,IF(Z20="TUBO",BZ20,1)))</f>
        <v>1</v>
      </c>
      <c r="AC20" s="1063" t="s">
        <v>597</v>
      </c>
      <c r="AD20" s="1064">
        <f>CC20</f>
        <v>1</v>
      </c>
      <c r="AE20" s="1059">
        <f>IFERROR(BR20,"NO SE CALCULA")</f>
        <v>440</v>
      </c>
      <c r="AF20" s="1065">
        <f>IF(OR(L20=2,L20=3),(SQRT(3)*O20*G20*((BL20*M20)+((SQRT(1-M20^2))*BM20))/(10*K20*AN20)),IF(L20=1,(2*O20*G20*(BL20*M20+SQRT(1-M20^2)*BM20)/(10*K20*AN20))))</f>
        <v>1.5429441047948254</v>
      </c>
      <c r="AG20" s="1065">
        <f t="shared" si="3"/>
        <v>1.9862877152804104</v>
      </c>
      <c r="AH20" s="1065">
        <f>1/SQRT(1+POWER((AX20/100),2))</f>
        <v>0.99875233887784465</v>
      </c>
      <c r="AI20" s="831" t="str">
        <f>+IF(R20&lt;=(Y20*AN20),"SI","NO")</f>
        <v>SI</v>
      </c>
      <c r="AJ20" s="832" t="str">
        <f>+IF(AL20="","FALTA DATO",IF(AK20&gt;=AL20,"SI","NO"))</f>
        <v>SI</v>
      </c>
      <c r="AK20" s="812">
        <f>SQRT((IF(AQ20="Cu",0.0297,0.0125))*LOG10((150+(IF(AQ20="Cu",234,228)))/(90+(IF(AQ20="Cu",234,228))))/U20)*LOOKUP(BU20,CONDUCTORES!$A$9:$A$62,CONDUCTORES!$W$9:$W$62)</f>
        <v>45.739424970151141</v>
      </c>
      <c r="AL20" s="758">
        <v>20</v>
      </c>
      <c r="AM20" s="548" t="s">
        <v>818</v>
      </c>
      <c r="AN20" s="548">
        <v>2</v>
      </c>
      <c r="AO20" s="548" t="s">
        <v>599</v>
      </c>
      <c r="AP20" s="548" t="s">
        <v>645</v>
      </c>
      <c r="AQ20" s="341" t="s">
        <v>601</v>
      </c>
      <c r="AR20" s="341" t="s">
        <v>697</v>
      </c>
      <c r="AS20" s="548">
        <v>1</v>
      </c>
      <c r="AT20" s="548">
        <v>1</v>
      </c>
      <c r="AU20" s="548" t="s">
        <v>613</v>
      </c>
      <c r="AV20" s="548">
        <v>1</v>
      </c>
      <c r="AW20" s="549" t="s">
        <v>657</v>
      </c>
      <c r="AX20" s="548">
        <v>5</v>
      </c>
      <c r="AY20" s="550" t="s">
        <v>175</v>
      </c>
      <c r="AZ20" s="547">
        <f>((( IF(L20=1,K20, (K20/SQRT(3))  )     /((((VLOOKUP(AM20,CONDUCTORES!$L$83:$N$97,IF(AQ20="Al",2,3),FALSE))/(AN20))*(G20/1000))+(((VLOOKUP(IF(BB20="No",IF(AO20="Multiconductor",AM20,(IF(AQ20="Al",LOOKUP(S20,CONDUCTORES!$A$111:$A$131,CONDUCTORES!$C$111:$C$131),LOOKUP(S20,CONDUCTORES!$A$111:$A$131,CONDUCTORES!$B$111:$B$131)))),BB20),CONDUCTORES!$L$83:$N$97,IF(AQ20="Al",2,3),FALSE))/IF(BB20="No",1,BA20))*(G20/1000))))/1000)/(S20))*1000</f>
        <v>20.176759979043076</v>
      </c>
      <c r="BA20" s="548">
        <v>2</v>
      </c>
      <c r="BB20" s="548" t="s">
        <v>818</v>
      </c>
      <c r="BC20" s="548">
        <v>1</v>
      </c>
      <c r="BD20" s="548" t="s">
        <v>605</v>
      </c>
      <c r="BE20" s="565">
        <f>BG20*((IF(Z20="BANDEJA",1,VLOOKUP(AA20,'% PORTADORES I'!$A$2:$B$42,2,FALSE)))*(IF(Z20="AÉREO",LOOKUP(BV20,CONDUCTORES!$A$156:$A$161,CONDUCTORES!$P$156:$P$161),IF(AND(Z20="BANDEJA",OR(AV20=0,AV20=1)),IF(BH20="Cu",LOOKUP(BV20,CONDUCTORES!$A$9:$A$62,CONDUCTORES!$M$9:$M$62),LOOKUP(BV20,CONDUCTORES!$A$9:$A$62,CONDUCTORES!$P$9:$P$62)),IF(OR(Z20="BANCO DE DUCTOS",Z20="TUBO"),IF(BH20="Cu",LOOKUP(BV20,CONDUCTORES!$A$9:$A$62,CONDUCTORES!$L$9:$L$62),LOOKUP(BV20,CONDUCTORES!$A$9:$A$62,CONDUCTORES!$O$9:$O$62)),IF(AND(Z20="BANDEJA",AV20=2.15),IF(BH20="Cu",LOOKUP(BV20,CONDUCTORES!$A$9:$A$62,CONDUCTORES!$N$9:$N$62),LOOKUP(BV20,CONDUCTORES!$A$9:$A$62,CONDUCTORES!$Q$9:$Q$62))))))))*AD20*AB20</f>
        <v>440</v>
      </c>
      <c r="BF20" s="548" t="str">
        <f t="shared" ref="BF20:BF26" si="14">+AM20</f>
        <v>4/0 AWG</v>
      </c>
      <c r="BG20" s="548">
        <f t="shared" si="11"/>
        <v>2</v>
      </c>
      <c r="BH20" s="341" t="s">
        <v>601</v>
      </c>
      <c r="BI20" s="641" t="str">
        <f>IF(AO20="Monopolar","1/C  -",AP20)</f>
        <v>1/C  -</v>
      </c>
      <c r="BJ20" s="618">
        <f>IF(Z20="AÉREO",LOOKUP(BU20,CONDUCTORES!$A$156:$A$161,CONDUCTORES!$D$156:$D$161),LOOKUP(BU20,CONDUCTORES!$A$9:$A$62,CONDUCTORES!$D$9:$D$62))</f>
        <v>43.6</v>
      </c>
      <c r="BK20" s="621">
        <f>LOOKUP(BU20,CONDUCTORES!$A$9:$A$62,CONDUCTORES!$R$9:$R$62)</f>
        <v>38</v>
      </c>
      <c r="BL20" s="619">
        <f>CONDUCTORES!J161</f>
        <v>0.27339999999999998</v>
      </c>
      <c r="BM20" s="619">
        <f>CONDUCTORES!K161</f>
        <v>8.9410000000000003E-2</v>
      </c>
      <c r="BN20" s="620">
        <f t="shared" ref="BN20" si="15">AN20*Y20</f>
        <v>550</v>
      </c>
      <c r="BO20" s="625">
        <f>CB20</f>
        <v>1</v>
      </c>
      <c r="BP20" s="620" t="str">
        <f>IF(BR20&gt;Q20,Listas!C$2,Listas!C$3)</f>
        <v>Si</v>
      </c>
      <c r="BQ20" s="620" t="str">
        <f>IF(AF20&lt;$BQ$12*100,Listas!C$2,Listas!C$3)</f>
        <v>Si</v>
      </c>
      <c r="BR20" s="621">
        <f>AN20*((IF(Z20="BANDEJA",1,VLOOKUP(AA20,'% PORTADORES I'!$A$2:$B$42,2,FALSE)))*(Y20))*AD20*AB20</f>
        <v>440</v>
      </c>
      <c r="BS20" s="621">
        <f t="shared" ref="BS20" si="16">IF(AW20="Generador",O20*1.15,IF(AW20="Trafo Primario",IF(O20&lt;2,O20*3,IF(AND(O20&gt;2,O20&lt;9),O20*1.67,O20*1.25)),IF(AW20="Trafo Primario - Secundario",O20*2.5,IF(AW20="Protección Tablero",IF(O20&lt;9,O20*1.67,O20*1.25),O20*1.25))))</f>
        <v>172.53326917676932</v>
      </c>
      <c r="BT20" s="642" t="str">
        <f t="shared" ref="BT20" si="17">+AM20</f>
        <v>4/0 AWG</v>
      </c>
      <c r="BU20" s="622">
        <f>IF(AO20="Monopolar",VLOOKUP(AM20,CONDUCTORES!$B$9:$X$23,23,FALSE),IF(AND(AM20="12 AWG",AO20="Multiconductor",AP20="2/C  -"),16,IF(AND(AM20="12 AWG",AO20="Multiconductor",AP20="3/C  -"),17,IF(AND(AM20="12 AWG",AO20="Multiconductor",AP20="4/C  -"),18,IF(AND(AM20="10 AWG",AO20="Multiconductor",AP20="2/C  -"),19,IF(AND(AM20="10 AWG",AO20="Multiconductor",AP20="3/C  -"),20,IF(AND(AM20="10 AWG",AO20="Multiconductor",AP20="4/C  -"),21,IF(AND(AM20="8 AWG",AO20="Multiconductor",AP20="2/C  -"),22,IF(AND(AM20="8 AWG",AO20="Multiconductor",AP20="3/C  -"),23,IF(AND(AM20="8 AWG",AO20="Multiconductor",AP20="4/C  -"),24,IF(AND(AM20="6 AWG",AO20="Multiconductor",AP20="2/C  -"),25,IF(AND(AM20="6 AWG",AO20="Multiconductor",AP20="3/C  -"),26,IF(AND(AM20="6 AWG",AO20="Multiconductor",AP20="4/C  -"),27,IF(AND(AM20="4 AWG",AO20="Multiconductor",AP20="2/C  -"),28,IF(AND(AM20="4 AWG",AO20="Multiconductor",AP20="3/C  -"),29,IF(AND(AM20="4 AWG",AO20="Multiconductor",AP20="4/C  -"),30,IF(AND(AM20="2 AWG",AO20="Multiconductor",AP20="2/C  -"),31,IF(AND(AM20="2 AWG",AO20="Multiconductor",AP20="3/C  -"),32,IF(AND(AM20="2 AWG",AO20="Multiconductor",AP20="4/C  -"),33,IF(AND(AM20="1/0 AWG",AO20="Multiconductor",AP20="2/C  -"),34,IF(AND(AM20="1/0 AWG",AO20="Multiconductor",AP20="3/C  -"),35,IF(AND(AM20="1/0 AWG",AO20="Multiconductor",AP20="4/C  -"),36,IF(AND(AM20="2/0 AWG",AO20="Multiconductor",AP20="2/C  -"),37,IF(AND(AM20="2/0 AWG",AO20="Multiconductor",AP20="3/C  -"),38,IF(AND(AM20="2/0 AWG",AO20="Multiconductor",AP20="4/C  -"),39,IF(AND(AM20="3/0 AWG",AO20="Multiconductor",AP20="2/C  -"),40,IF(AND(AM20="3/0 AWG",AO20="Multiconductor",AP20="3/C  -"),41,IF(AND(AM20="3/0 AWG",AO20="Multiconductor",AP20="4/C  -"),42,IF(AND(AM20="4/0 AWG",AO20="Multiconductor",AP20="2/C  -"),43,IF(AND(AM20="4/0 AWG",AO20="Multiconductor",AP20="3/C  -"),44,IF(AND(AM20="4/0 AWG",AO20="Multiconductor",AP20="4/C  -"),45,IF(AND(AM20="250 kcmil",AO20="Multiconductor",AP20="2/C  -"),46,IF(AND(AM20="250 kcmil",AO20="Multiconductor",AP20="3/C  -"),47,IF(AND(AM20="250 kcmil",AO20="Multiconductor",AP20="4/C  -"),48,IF(AND(AM20="350 kcmil",AO20="Multiconductor",AP20="2/C  -"),49,IF(AND(AM20="350 kcmil",AO20="Multiconductor",AP20="3/C  -"),50,IF(AND(AM20="350 kcmil",AO20="Multiconductor",AP20="4/C  -"),51,IF(AND(AM20="500 kcmil",AO20="Multiconductor",AP20="2/C  -"),52,IF(AND(AM20="500 kcmil",AO20="Multiconductor",AP20="3/C  -"),53,IF(AND(AM20="500 kcmil",AO20="Multiconductor",AP20="4/C  -"),54,FALSE))))))))))))))))))))))))))))))))))))))))</f>
        <v>10</v>
      </c>
      <c r="BV20" s="622">
        <f>IF(AO20="Monopolar",VLOOKUP(BF20,CONDUCTORES!$B$9:$X$23,23,FALSE),IF(AND(BF20="12 AWG",AO20="Multiconductor",AP20="2/C  -"),16,IF(AND(BF20="12 AWG",AO20="Multiconductor",AP20="3/C  -"),17,IF(AND(BF20="12 AWG",AO20="Multiconductor",AP20="4/C  -"),18,IF(AND(BF20="10 AWG",AO20="Multiconductor",AP20="2/C  -"),19,IF(AND(BF20="10 AWG",AO20="Multiconductor",AP20="3/C  -"),20,IF(AND(BF20="10 AWG",AO20="Multiconductor",AP20="4/C  -"),21,IF(AND(BF20="8 AWG",AO20="Multiconductor",AP20="2/C  -"),22,IF(AND(BF20="8 AWG",AO20="Multiconductor",AP20="3/C  -"),23,IF(AND(BF20="8 AWG",AO20="Multiconductor",AP20="4/C  -"),24,IF(AND(BF20="6 AWG",AO20="Multiconductor",AP20="2/C  -"),25,IF(AND(BF20="6 AWG",AO20="Multiconductor",AP20="3/C  -"),26,IF(AND(BF20="6 AWG",AO20="Multiconductor",AP20="4/C  -"),27,IF(AND(BF20="4 AWG",AO20="Multiconductor",AP20="2/C  -"),28,IF(AND(BF20="4 AWG",AO20="Multiconductor",AP20="3/C  -"),29,IF(AND(BF20="4 AWG",AO20="Multiconductor",AP20="4/C  -"),30,IF(AND(BF20="2 AWG",AO20="Multiconductor",AP20="2/C  -"),31,IF(AND(BF20="2 AWG",AO20="Multiconductor",AP20="3/C  -"),32,IF(AND(BF20="2 AWG",AO20="Multiconductor",AP20="4/C  -"),33,IF(AND(BF20="1/0 AWG",AO20="Multiconductor",AP20="2/C  -"),34,IF(AND(BF20="1/0 AWG",AO20="Multiconductor",AP20="3/C  -"),35,IF(AND(BF20="1/0 AWG",AO20="Multiconductor",AP20="4/C  -"),36,IF(AND(BF20="2/0 AWG",AO20="Multiconductor",AP20="2/C  -"),37,IF(AND(BF20="2/0 AWG",AO20="Multiconductor",AP20="3/C  -"),38,IF(AND(BF20="2/0 AWG",AO20="Multiconductor",AP20="4/C  -"),39,IF(AND(BF20="3/0 AWG",AO20="Multiconductor",AP20="2/C  -"),40,IF(AND(BF20="3/0 AWG",AO20="Multiconductor",AP20="3/C  -"),41,IF(AND(BF20="3/0 AWG",AO20="Multiconductor",AP20="4/C  -"),42,IF(AND(BF20="4/0 AWG",AO20="Multiconductor",AP20="2/C  -"),43,IF(AND(BF20="4/0 AWG",AO20="Multiconductor",AP20="3/C  -"),44,IF(AND(BF20="4/0 AWG",AO20="Multiconductor",AP20="4/C  -"),45,IF(AND(BF20="250 kcmil",AO20="Multiconductor",AP20="2/C  -"),46,IF(AND(BF20="250 kcmil",AO20="Multiconductor",AP20="3/C  -"),47,IF(AND(BF20="250 kcmil",AO20="Multiconductor",AP20="4/C  -"),48,IF(AND(BF20="350 kcmil",AO20="Multiconductor",AP20="2/C  -"),49,IF(AND(BF20="350 kcmil",AO20="Multiconductor",AP20="3/C  -"),50,IF(AND(BF20="350 kcmil",AO20="Multiconductor",AP20="4/C  -"),51,IF(AND(BF20="500 kcmil",AO20="Multiconductor",AP20="2/C  -"),52,IF(AND(BF20="500 kcmil",AO20="Multiconductor",AP20="3/C  -"),53,IF(AND(BF20="500 kcmil",AO20="Multiconductor",AP20="4/C  -"),54,FALSE))))))))))))))))))))))))))))))))))))))))</f>
        <v>10</v>
      </c>
      <c r="BW20" s="623">
        <f>BS20/BR20</f>
        <v>0.39212106631083937</v>
      </c>
      <c r="BX20" s="624">
        <f>CA20</f>
        <v>1</v>
      </c>
      <c r="BY20" s="625">
        <f t="shared" ref="BY20" si="18">IF(AND(AU20="CON TAPA",OR(AM20="12 AWG",AM20="10 AWG",AM20="8 AWG",AM20="6 AWG",AM20="4 AWG",AM20="2 AWG",AM20="1 AWG",AM20="1/0 AWG",AM20="2/0 AWG",AM20="3/0 AWG",AM20="4/0 AWG",AM20="250 kcmil",AM20="350 kcmil",AM20="500 kcmil")),0.6,IF(AND(AU20="CON TAPA",OR(AM20="750 kcmil",AM20="1000 kcmil")),0.7,IF(AND(AU20="SIN TAPA",OR(AM20="12 AWG",AM20="10 AWG",AM20="8 AWG",AM20="6 AWG",AM20="4 AWG",AM20="2 AWG",AM20="1 AWG",AM20="1/0 AWG",AM20="2/0 AWG",AM20="3/0 AWG",AM20="4/0 AWG",AM20="250 kcmil",AM20="350 kcmil",AM20="500 kcmil"),AV20=0),0.65,IF(AND(AU20="SIN TAPA",OR(AM20="750 kcmil",AM20="1000 kcmil"),AV20=0),0.75,IF(AND(AU20="SIN TAPA",OR(AV20=1,AV20=2.15)),1,"otro")))))</f>
        <v>0.6</v>
      </c>
      <c r="BZ20" s="625">
        <f t="shared" ref="BZ20" si="19">IF(AND(AA20&lt;4,AA20&gt;=1),1,IF(AND(AA20&lt;=6,AA20&gt;=4),0.8,IF(AND(AA20&lt;=9,AA20&gt;=7),0.7,IF(AND(AA20&lt;=20,AA20&gt;=10),0.5,IF(AND(AA20&lt;=30,AA20&gt;=21),0.45,IF(AND(AA20&lt;=40,AA20&gt;=31),0.4,IF(AA20&gt;=41,0.35,"")))))))</f>
        <v>0.8</v>
      </c>
      <c r="CA20" s="626">
        <f>IF(AS20&gt;4,"# FILAS Fuera de rango",IF(AT20&gt;15,"#COLUMNAS Fuera de rango",IF(BU20=0,"CALIBRE CABLE CERO",IF(OR(BU20=1,BU20=16,BU20=17,BU20=18),INDEX('0-5000'!$D$4:$R$7,AS20,AT20),IF(OR(BU20=2,BU20=19,BU20=20,BU20=21),INDEX('0-5000'!$D$8:$R$11,AS20,AT20),IF(OR(BU20=3,BU20=22,BU20=23,BU20=24),INDEX('0-5000'!$D$12:$R$15,AS20,AT20),IF(OR(BU20=4,BU20=25,BU20=26,BU20=27),INDEX('0-5000'!$D$16:$R$19,AS20,AT20),CB20)))))))</f>
        <v>1</v>
      </c>
      <c r="CB20" s="627">
        <f>IF(OR(BU20=1,BU20=16,BU20=17,BU20=18),INDEX('0-5000'!$D$4:$R$7,AS20,AT20),IF(OR(BU20=2,BU20=19,BU20=20,BU20=21),INDEX('0-5000'!$D$8:$R$11,AS20,AT20),IF(OR(BU20=3,BU20=22,BU20=23,BU20=24),INDEX('0-5000'!$D$12:$R$15,AS20,AT20),IF(OR(BU20=4,BU20=25,BU20=26,BU20=27),INDEX('0-5000'!$D$18:$R$19,AS20,AT20),IF(OR(BU20=5,BU20=28,BU20=29,BU20=30),INDEX('0-5000'!$D$20:$R$23,AS20,AT20),IF(OR(BU20=6,BU20=31,BU20=32,BU20=33),INDEX('0-5000'!$D$24:$R$27,AS20,AT20),IF(OR(BU20=7,BU20=34,BU20=35,BU20=36),INDEX('0-5000'!$D$32:$R$35,AS20,AT20),IF(OR(BU20=8,BU20=37,BU20=38,BU20=39),INDEX('0-5000'!$D$36:$R$39,AS20,AT20),IF(OR(BU20=9,BU20=40,BU20=41,BU20=42),INDEX('0-5000'!$D$40:$R$43,AS20,AT20),IF(OR(BU20=10,BU20=43,BU20=44,BU20=45),INDEX('0-5000'!$D$44:$R$47,AS20,AT20),IF(OR(BU20=11,BU20=46,BU20=47,BU20=48),INDEX('0-5000'!$D$48:$R$51,AS20,AT20),IF(OR(BU20=12,BU20=49,BU20=50,BU20=51),INDEX('0-5000'!$D$52:$R$55,AS20,AT20),IF(OR(BU20=13,BU20=52,BU20=53,BU20=54),INDEX('0-5000'!$D$56:$R$59,AS20,AT20),IF(OR(BU20=14,BU20=55,BU20=56,BU20=57),INDEX('0-5000'!$D$60:$R$63,AS20,AT20),IF(BU20=15,INDEX('0-5000'!$D$64:$R$67,AS20,AT20),"# CABLE Fuera de Rango")))))))))))))))</f>
        <v>1</v>
      </c>
      <c r="CC20" s="643">
        <f>VLOOKUP($AC20,Listas!$A$20:$B$29,2,FALSE)</f>
        <v>1</v>
      </c>
      <c r="CD20" s="616">
        <f t="shared" ref="CD20" si="20">LEN(C20)-LEN(SUBSTITUTE(C20,IF(ISNUMBER(FIND(".",C20)),".",","),""))</f>
        <v>2</v>
      </c>
    </row>
    <row r="21" spans="2:82" ht="39.75" customHeight="1" x14ac:dyDescent="0.25">
      <c r="B21" s="338">
        <f>+IF(OR(CD21=0,CD21=1),0,COUNTIF(CD$15:CD21,CD21))</f>
        <v>4</v>
      </c>
      <c r="C21" s="819" t="str">
        <f>+_xlfn.CONCAT($C$17,".",SUBTOTAL(103,$D$18:D21))</f>
        <v>2.1.4</v>
      </c>
      <c r="D21" s="820" t="str">
        <f>+Longitudes!C13</f>
        <v>TBT-DT-97</v>
      </c>
      <c r="E21" s="821" t="s">
        <v>1996</v>
      </c>
      <c r="F21" s="1040" t="str">
        <f>+Longitudes!B13</f>
        <v>PE04</v>
      </c>
      <c r="G21" s="1311">
        <f>+Longitudes!L13</f>
        <v>15</v>
      </c>
      <c r="H21" s="828"/>
      <c r="I21" s="1312">
        <f>I20</f>
        <v>114.61</v>
      </c>
      <c r="J21" s="829" t="s">
        <v>595</v>
      </c>
      <c r="K21" s="827">
        <v>480</v>
      </c>
      <c r="L21" s="827">
        <v>3</v>
      </c>
      <c r="M21" s="830">
        <f>+'H1-CUADRO DE CARGAS'!$M$12</f>
        <v>0.79600000000000004</v>
      </c>
      <c r="N21" s="830">
        <f>+'H1-CUADRO DE CARGAS'!$O$12</f>
        <v>0.94099999999999995</v>
      </c>
      <c r="O21" s="1045">
        <f>(IF(L21=1,IF(J21="HP",(I21*746)/(K21*M21),IF(J21="kVA",I21*1000/K21,IF(J21="kW",I21*1000/(K21*M21),""))),IF(L21=3,IF(J21="HP",IF(OR(K21=4160,K21=34500),((I21*0.746)/M21)*1000/(SQRT(3)*K21*N21),IF(AND(K21&lt;=480,K21&gt;=440),VLOOKUP(I21,'I Plena Carga'!$C$3:$I$29,7),IF(AND(K21&lt;=240,K21&gt;=220),VLOOKUP(I21,'I Plena Carga'!$C$3:$G$29,5),IF(K21=208,VLOOKUP(I21,'I Plena Carga'!$C$3:$F$29,4),IF(AND(K21&lt;=127,K21&gt;=110),VLOOKUP(I21,'I Plena Carga'!$C$3:$D$29,2),""))))),IF(J21="kVA",I21*1000/(SQRT(3)*K21),IF(J21="kW",I21*1000/(SQRT(3)*K21*M21),""))),IF(L21=2,IF(J21="HP",(I21*746)/(K21*M21),IF(J21="kVA",I21*1000/(K21),IF(J21="kW",I21*1000/(K21*M21),""))),"Rev.#Fases"))))*(SQRT(1+((AX21/100)^2)))</f>
        <v>138.02661534141546</v>
      </c>
      <c r="P21" s="1046" t="str">
        <f t="shared" ref="P21:P26" si="21">IF(OR(AW21="Motor",AW21="Motor Alimentado de VFD"),(IF($P$9="CORRIENTE DE ARRANQUE DIRECTO (MOTORES)",O21*8,IF($P$9="CORRIENTE DE ARRANCADOR SUAVE (MOTORES)",O21*3,IF($P$9="CORRIENTE DE ARRANQUE  Δ-Y (MOTORES)",O21*6,IF($P$9="CORRIENTE DE ARRANQUE CON VARIADOR (MOTORES)",O21*2,O21))))),"N/A")</f>
        <v>N/A</v>
      </c>
      <c r="Q21" s="1047">
        <f t="shared" ref="Q21:Q26" si="22">O21*1.25</f>
        <v>172.53326917676932</v>
      </c>
      <c r="R21" s="1047">
        <f>IF(OR(MID(D21,1,1)="J"),"N/A",S21)</f>
        <v>175</v>
      </c>
      <c r="S21" s="1047">
        <f>(IF((IF(OR(AW21="Trafo Primario",AW21="Trafo Primario - Secundario",AW21="Protección Tablero"),BS21,Q21))&lt;CONDUCTORES!$E$111,CONDUCTORES!$E$111,IF((IF(OR(AW21="Trafo Primario",AW21="Trafo Primario - Secundario",AW21="Protección Tablero"),BS21,Q21))&lt;CONDUCTORES!$E$112,CONDUCTORES!$E$112,IF((IF(OR(AW21="Trafo Primario",AW21="Trafo Primario - Secundario",AW21="Protección Tablero"),BS21,Q21))&lt;CONDUCTORES!$E$113,CONDUCTORES!$E$113,IF((IF(OR(AW21="Trafo Primario",AW21="Trafo Primario - Secundario",AW21="Protección Tablero"),BS21,Q21))&lt;CONDUCTORES!$E$114,CONDUCTORES!$E$114,IF((IF(OR(AW21="Trafo Primario",AW21="Trafo Primario - Secundario",AW21="Protección Tablero"),BS21,Q21))&lt;CONDUCTORES!$E$115,CONDUCTORES!$E$115,IF((IF(OR(AW21="Trafo Primario",AW21="Trafo Primario - Secundario",AW21="Protección Tablero"),BS21,Q21))&lt;CONDUCTORES!$E$116,CONDUCTORES!$E$116,IF((IF(OR(AW21="Trafo Primario",AW21="Trafo Primario - Secundario",AW21="Protección Tablero"),BS21,Q21))&lt;CONDUCTORES!$E$117,CONDUCTORES!$E$117,IF((IF(OR(AW21="Trafo Primario",AW21="Trafo Primario - Secundario",AW21="Protección Tablero"),BS21,Q21))&lt;CONDUCTORES!$E$118,CONDUCTORES!$E$118,IF((IF(OR(AW21="Trafo Primario",AW21="Trafo Primario - Secundario",AW21="Protección Tablero"),BS21,Q21))&lt;CONDUCTORES!$E$119,CONDUCTORES!$E$119,IF((IF(OR(AW21="Trafo Primario",AW21="Trafo Primario - Secundario",AW21="Protección Tablero"),BS21,Q21))&lt;CONDUCTORES!$E$120,CONDUCTORES!$E$120,IF((IF(OR(AW21="Trafo Primario",AW21="Trafo Primario - Secundario",AW21="Protección Tablero"),BS21,Q21))&lt;CONDUCTORES!$E$121,CONDUCTORES!$E$121,IF((IF(AND(AW21="Trafo Primario",AW21="Trafo Primario - Secundario",AW21="Protección Tablero"),BS21,Q21))&lt;CONDUCTORES!$E$122,CONDUCTORES!$E$122,IF((IF(OR(AW21="Trafo Primario",AW21="Trafo Primario - Secundario",AW21="Protección Tablero"),BS21,Q21))&lt;CONDUCTORES!$E$123,CONDUCTORES!$E$123,IF((IF(OR(AW21="Trafo Primario",AW21="Trafo Primario - Secundario",AW21="Protección Tablero"),BS21,Q21))&lt;CONDUCTORES!$E$124,CONDUCTORES!$E$124,IF((IF(OR(AW21="Trafo Primario",AW21="Trafo Primario - Secundario",AW21="Protección Tablero"),BS21,Q21))&lt;CONDUCTORES!$E$125,CONDUCTORES!$E$125,IF((IF(OR(AW21="Trafo Primario",AW21="Trafo Primario - Secundario",AW21="Protección Tablero"),BS21,Q21))&lt;CONDUCTORES!$E$126,CONDUCTORES!$E$126,IF((IF(OR(AW21="Trafo Primario",AW21="Trafo Primario - Secundario",AW21="Protección Tablero"),BS21,Q21))&lt;CONDUCTORES!$E$127,CONDUCTORES!$E$127,IF((IF(OR(AW21="Trafo Primario",AW21="Trafo Primario - Secundario",AW21="Protección Tablero"),BS21,Q21))&lt;CONDUCTORES!$E$128,CONDUCTORES!$E$128,IF((IF(OR(AW21="Trafo Primario",AW21="Trafo Primario - Secundario",AW21="Protección Tablero"),BS21,Q21))&lt;CONDUCTORES!$E$129,CONDUCTORES!$E$129,IF((IF(OR(AW21="Trafo Primario",AW21="Trafo Primario - Secundario",AW21="Protección Tablero"),BS21,Q21))&lt;CONDUCTORES!$E$130,CONDUCTORES!$E$130,IF((IF(OR(AW21="Trafo Primario",AW21="Trafo Primario - Secundario",AW21="Protección Tablero"),BS21,Q21))&lt;CONDUCTORES!$E$131,CONDUCTORES!$E$131,IF((IF(OR(AW21="Trafo Primario",AW21="Trafo Primario - Secundario",AW21="Protección Tablero"),BS21,Q21))&lt;CONDUCTORES!$E$132,CONDUCTORES!$E$132,IF((IF(OR(AW21="Trafo Primario",AW21="Trafo Primario - Secundario",AW21="Protección Tablero"),BS21,Q21))&lt;CONDUCTORES!$E$133,CONDUCTORES!$E$133,IF((IF(OR(AW21="Trafo Primario",AW21="Trafo Primario - Secundario",AW21="Protección Tablero"),BS21,Q21))&lt;CONDUCTORES!$E$134,CONDUCTORES!$E$134,IF((IF(OR(AW21="Trafo Primario",AW21="Trafo Primario - Secundario",AW21="Protección Tablero"),BS21,Q21))&lt;CONDUCTORES!$E$135,CONDUCTORES!$E$135,IF((IF(OR(AW21="Trafo Primario",AW21="Trafo Primario - Secundario",AW21="Protección Tablero"),BS21,Q21))&lt;CONDUCTORES!$E$136,CONDUCTORES!$E$136,IF((IF(OR(AW21="Trafo Primario",AW21="Trafo Primario - Secundario",AW21="Protección Tablero"),BS21,Q21))&lt;CONDUCTORES!$E$137,CONDUCTORES!$E$137,IF((IF(OR(AW21="Trafo Primario",AW21="Trafo Primario - Secundario",AW21="Protección Tablero"),BS21,Q21))&lt;CONDUCTORES!$E$138,CONDUCTORES!$E$138,IF((IF(OR(AW21="Trafo Primario",AW21="Trafo Primario - Secundario",AW21="Protección Tablero"),BS21,Q21))&lt;CONDUCTORES!$E$139,CONDUCTORES!$E$139,IF((IF(OR(AW21="Trafo Primario",AW21="Trafo Primario - Secundario",AW21="Protección Tablero"),BS21,Q21))&lt;CONDUCTORES!$E$140,CONDUCTORES!$E$140,IF((IF(OR(AW21="Trafo Primario",AW21="Trafo Primario - Secundario",AW21="Protección Tablero"),BS21,Q21))&lt;CONDUCTORES!$E$141,CONDUCTORES!$E$141,IF((IF(OR(AW21="Trafo Primario",AW21="Trafo Primario - Secundario",AW21="Protección Tablero"),BS21,Q21))&lt;CONDUCTORES!$E$142,CONDUCTORES!$E$142,IF((IF(OR(AW21="Trafo Primario",AW21="Trafo Primario - Secundario",AW21="Protección Tablero"),BS21,Q21))&lt;CONDUCTORES!$E$143,CONDUCTORES!$E$143,IF((IF(OR(AW21="Trafo Primario",AW21="Trafo Primario - Secundario",AW21="Protección Tablero"),BS21,Q21))&lt;CONDUCTORES!$E$144,CONDUCTORES!$E$144,IF((IF(OR(AW21="Trafo Primario",AW21="Trafo Primario - Secundario",AW21="Protección Tablero"),BS21,Q21))&lt;CONDUCTORES!$E$145,CONDUCTORES!$E$145,IF((IF(OR(AW21="Trafo Primario",AW21="Trafo Primario - Secundario",AW21="Protección Tablero"),BS21,Q21))&lt;CONDUCTORES!$E$146,CONDUCTORES!$E$146,IF((IF(OR(AW21="Trafo Primario",AW21="Trafo Primario - Secundario",AW21="Protección Tablero"),BS21,Q21))&lt;CONDUCTORES!$E$147,CONDUCTORES!$E$147,IF((IF(OR(AW21="Trafo Primario",AW21="Trafo Primario - Secundario",AW21="Protección Tablero"),BS21,Q21))&lt;CONDUCTORES!$E$148,CONDUCTORES!$E$148,IF((IF(OR(AW21="Trafo Primario",AW21="Trafo Primario - Secundario",AW21="Protección Tablero"),BS21,Q21))&lt;CONDUCTORES!$E$149,CONDUCTORES!$E$149,))))))))))))))))))))))))))))))))))))))))</f>
        <v>175</v>
      </c>
      <c r="T21" s="1048">
        <f>IF(AZ21&lt;10,CONCATENATE(ROUND(((IF(L21=1,K21,K21/SQRT(3)))/((((VLOOKUP(AM21,CONDUCTORES!$L$83:$N$97,IF(AQ21="Al",2,3),FALSE))/(AN21))*(G21/1000))+(((VLOOKUP(IF(BB21="No",(IF(AQ21="Al",LOOKUP(S21,CONDUCTORES!$A$111:$A$131,CONDUCTORES!$C$111:$C$131),LOOKUP(S21,CONDUCTORES!$A$111:$A$131,CONDUCTORES!$B$111:$B$131))),BB21),CONDUCTORES!$L$83:$N$97,IF(AQ21="Al",2,3),FALSE))/IF(BB21="No",1,BA21))*(G21/1000))))/1000,2)," &lt; 10*Inp"),((IF(L21=1,K21,K21/SQRT(3)))/((((VLOOKUP(AM21,CONDUCTORES!$L$83:$N$97,IF(AQ21="Al",2,3),FALSE))/(AN21))*(G21/1000))+(((VLOOKUP(IF(BB21="No",(IF(AQ21="Al",LOOKUP(S21,CONDUCTORES!$A$111:$A$131,CONDUCTORES!$C$111:$C$131),LOOKUP(S21,CONDUCTORES!$A$111:$A$131,CONDUCTORES!$B$111:$B$131))),BB21),CONDUCTORES!$L$83:$N$97,IF(AQ21="Al",2,3),FALSE))/IF(BB21="No",1,BA21))*(G21/1000))))/1000)</f>
        <v>16.039926693863787</v>
      </c>
      <c r="U21" s="830">
        <v>0.02</v>
      </c>
      <c r="V21" s="1062" t="str">
        <f t="shared" ref="V21:V26" si="23">IF(AZ21&lt;10,"AJUSTAR CONDUCTOR DE RETORNO DE TIERRA",IF(AQ21="Al",CONCATENATE("ALUMINIO, ",AR21,","," ",IF(K21=34500,"133%, 35 kV","600 V"),", 90°C, ",IF(AW21="Motor Alimentado de VFD","Cable de VFD",IF(AW21="Motor",AO21,IF(Z21="AÉREO","Cable Autosoportado Con Neutro En ACSR",AO21)))),CONCATENATE("COBRE, ",AR21,","," ",IF(K21=34500,"133%, 35 kV","600 V"),", 90°C, ",IF(AW21="Motor Alimentado de VFD","Cable de VFD",IF(AW21="Motor",AO21,AO21)))))</f>
        <v>ALUMINIO, XHHW-2, 600 V, 90°C, Monopolar</v>
      </c>
      <c r="W21" s="1055" t="str">
        <f>IF(Z21="AÉREO",CONCATENATE(AN21,"x[3x(1x",AM21,")] + ",AN21,"x(1Nx",(VLOOKUP(BU21,CONDUCTORES!$A$156:$Y$161,25,FALSE))," AWG)"),IF(AND(AO21="Multiconductor",AY21="SI"),(CONCATENATE(AN21,"x(",IF(AO21="Monopolar",L21,IF(AW21="Motor Alimentado de VFD",3,MID(AP21,1,1))),"x",AM21,IF(AW21="Motor Alimentado de VFD",,")")," + ",IF(BD21="No","",CONCATENATE(" ",AN21,"x(",BC21,"Nx",BD21,") + ")),IF(AW21="Motor Alimentado de VFD",,IF(ISERROR(VLOOKUP(D21,'H4-CANALIZACIONES'!$C$28:$AN$40,COLUMN('H4-CANALIZACIONES'!#REF!),FALSE))=TRUE,AN21,VLOOKUP(D21,'H4-CANALIZACIONES'!$C$28:$AN$40,COLUMN('H4-CANALIZACIONES'!#REF!),FALSE))),IF(AW21="Motor Alimentado de VFD",,"x("),IF(BB21="No",IF(AW21="Motor Alimentado de VFD",3,1),BA21),"Gx",(IF(AQ21="Al",IF(AW21="Motor Alimentado de VFD",VLOOKUP(AM21,CONDUCTORES!$H$84:$J$98,3,FALSE),IF(BB21="No",LOOKUP(S21,CONDUCTORES!$A$111:$A$131,CONDUCTORES!$C$111:$C$131),BB21)),IF(AW21="Motor Alimentado de VFD",VLOOKUP(AM21,CONDUCTORES!$H$84:$J$98,3,FALSE),IF(BB21="No",LOOKUP(S21,CONDUCTORES!$A$111:$A$131,CONDUCTORES!$B$111:$B$131),BB21)))),")")),(IF(AO21="Multiconductor",CONCATENATE(AN21,"x(",IF(AO21="Monopolar",L21,IF(AW21="Motor Alimentado de VFD",3,MID(AP21,1,1))),"x",AM21,IF(AW21="Motor Alimentado de VFD",CONCATENATE(" + 3Gx",VLOOKUP(AM21,CONDUCTORES!$H$84:$J$98,3,FALSE)),""),")"),(IF(AND(K21=480,AY21="No"),CONCATENATE(AN21,"x[",L21,"x(1x",AM21,")]",IF(BD21="No","",CONCATENATE(" ",AN21,"x(",BC21,"Nx",BD21,")"))),IF(AND(AO21="Monopolar",K21&lt;&gt;34500,Z21&lt;&gt;"BANDEJA"),CONCATENATE(AN21,"x[",L21,"x(1x",AM21,")] + ",IF(BD21="No","",CONCATENATE(" ",AN21,"x(",BC21,"Nx",BD21,") + ")),IF(ISERROR(VLOOKUP(D21,'H4-CANALIZACIONES'!$C$28:$AN$40,COLUMN('H4-CANALIZACIONES'!#REF!),FALSE))=TRUE,'H4-CANALIZACIONES'!AO31,VLOOKUP(D21,'H4-CANALIZACIONES'!$C$28:$AN$40,COLUMN('H4-CANALIZACIONES'!#REF!),FALSE)),"x(",IF(BB21="No",1,BA21),"Gx",(IF(AQ21="Al",IF(AW21="Motor Alimentado de VFD",VLOOKUP(AM21,CONDUCTORES!$H$84:$J$98,3,FALSE),IF(BB21="No",LOOKUP(S21,CONDUCTORES!$A$111:$A$131,CONDUCTORES!$C$111:$C$131),BB21)),IF(AW21="Motor Alimentado de VFD",VLOOKUP(AM21,CONDUCTORES!$H$84:$J$98,3,FALSE),IF(BB21="No",LOOKUP(S21,CONDUCTORES!$A$111:$A$131,CONDUCTORES!$B$111:$B$131),BB21)))),")"),IF(K21=34500,CONCATENATE(AN21,"x[",L21,"x(1x",AM21,")]"),IF(AND(AY21="SI"),CONCATENATE(AN21,"x[",IF(AO21="Monopolar",L21,MID(AP21,1,1)),"x(1x",AM21,")] + ",IF(BD21="No","",CONCATENATE(" ",AN21,"x(",BC21,"Nx",BD21,") + ")),1,"x(",IF(BB21="No",1,BA21),"Gx",(IF(AQ21="Al",IF(AW21="Motor Alimentado de VFD",VLOOKUP(AM21,CONDUCTORES!$H$84:$J$98,3,FALSE),IF(BB21="No",LOOKUP(S21,CONDUCTORES!$A$111:$A$131,CONDUCTORES!$C$111:$C$131),BB21)),IF(AW21="Motor Alimentado de VFD",VLOOKUP(AM21,CONDUCTORES!$H$84:$J$98,3,FALSE),IF(BB21="No",LOOKUP(S21,CONDUCTORES!$A$111:$A$131,CONDUCTORES!$B$111:$B$131),BB21)))),")"),CONCATENATE(AN21,"x(",IF(AO21="Monopolar",L21,MID(AP21,1,1)),"x",AM21,")"))))))))))</f>
        <v>2x[3x(1x2/0 AWG)] + 1x(2Gx4 AWG)</v>
      </c>
      <c r="X21" s="1062" t="str">
        <f>IF(AND(AN21&gt;=2,OR(AM21="12 AWG",AM21="10 AWG",AM21="8 AWG",AM21="6 AWG",AM21="4 AWG",AM21="2 AWG")),"NO SE PERMITEN "&amp;AN21&amp;" CONDUCTORES DE "&amp;AM21&amp;"",""&amp;IF(AN21=1,"",IF(AN21=2,"1/2-",IF(AN21=3,"1/2/3-",IF(AN21=4,"1/2/3/4-",IF(AN21=5,"1/2/3/4/5-",IF(AN21=6,"1/2/3/4/5/6-",IF(AN21=7,"1/2/3/4/5/6/7-",IF(AN21=8,"1/2/3/4/5/6/7/8-",IF(AN21=9,"1/2/3/4/5/6/7/8/9-","1/2/3/4/5/6/7/8/9/10-")))))))))&amp;""&amp;IF(MID(D21,1,1)="H","H",IF(MID(D21,1,3)="ILU","A","P"))&amp;"-"&amp;IF(OR(AND(AO21="Monopolar",AY21="SI"),AND(AO21="Multiconductor",AP21="4/C  -")),"06",IF(AND(AO21="Monopolar",AY21="No"),"05",IF(AND(AO21="Multiconductor",AP21="3/C  -",AY21="No"),IF(AW21="Motor Alimentado de VFD","06",IF(AND(AO21="Multiconductor",AP21="2/C  -",AY21="No"),"01",IF(AW21="Otra Carga","02","04"))))))&amp;"-"&amp;VLOOKUP(K21,'CODIFICACIÓN ECO'!$F$5:$G$21,2,FALSE)&amp;"-"&amp;D21&amp;"")</f>
        <v>1/2-P-06-08-TBT-DT-97</v>
      </c>
      <c r="Y21" s="1061">
        <f>IF(Z21="AÉREO",LOOKUP(BU21,CONDUCTORES!$A$156:$A$161,CONDUCTORES!$P$156:$P$161),IF(AND(Z21="BANDEJA",AQ21="Cu",OR(AV21=0,AV21=1)),LOOKUP(BU21,CONDUCTORES!$A$9:$A$62,CONDUCTORES!$M$9:$M$62),IF(AND(OR(Z21="BANCO DE DUCTOS",Z21="TUBO"),AQ21="Cu"),LOOKUP(BU21,CONDUCTORES!$A$9:$A$62,CONDUCTORES!$L$9:$L$62),IF(AND(Z21="BANDEJA",AQ21="Al",OR(AV21=0,AV21=1)),LOOKUP(BU21,CONDUCTORES!$A$9:$A$62,CONDUCTORES!$P$9:$P$62),IF(AND(OR(Z21="BANCO DE DUCTOS",Z21="TUBO"),AQ21="Al"),LOOKUP(BU21,CONDUCTORES!$A$9:$A$62,CONDUCTORES!$O$9:$O$62),IF(AND(Z21="BANDEJA",AQ21="Cu",AV21=2.15),LOOKUP(BU21,CONDUCTORES!$A$9:$A$62,CONDUCTORES!$N$9:$N$62),IF(AND(Z21="BANDEJA",AQ21="Al",AV21=2.15),LOOKUP(BU21,CONDUCTORES!$A$9:$A$62,CONDUCTORES!$Q$9:$Q$62),"")))))))</f>
        <v>150</v>
      </c>
      <c r="Z21" s="1062" t="s">
        <v>596</v>
      </c>
      <c r="AA21" s="1061">
        <f>IF(ISERROR(VLOOKUP(D21,'H4-CANALIZACIONES'!$C$2:$AN$36,3,FALSE))=TRUE,(IF(AO21="Multiconductor",IF(AW21="Motor Alimentado de VFD",3,IF(K21=120,1,(MID(AP21,1,1))-1)),L21)),IF(MOD(MID(W21,1,1),IF(VLOOKUP(D21,'H4-CANALIZACIONES'!$C$2:$AN$36,COLUMN('H4-CANALIZACIONES'!Y8),FALSE)="--",1,VLOOKUP(D21,'H4-CANALIZACIONES'!$C$26:$AN$36,COLUMN('H4-CANALIZACIONES'!Y8),FALSE)))=0,(MID(W21,1,1)/IF(VLOOKUP(D21,'H4-CANALIZACIONES'!$C$2:$AN$36,COLUMN('H4-CANALIZACIONES'!Y8),FALSE)="--",1,VLOOKUP(D21,'H4-CANALIZACIONES'!$C$26:$AN$36,COLUMN('H4-CANALIZACIONES'!Y8),FALSE)))*(IF(AO21="Multiconductor",IF(AW21="Motor Alimentado de VFD",3,IF(K21=120,1,(MID(AP21,1,1))-1)),L21)),"NO"))</f>
        <v>6</v>
      </c>
      <c r="AB21" s="1056">
        <f t="shared" ref="AB21:AB26" si="24">IF(Z21="BANCO DE DUCTOS",BZ21,IF(Z21="BANDEJA",BY21,IF(Z21="TUBO",BZ21,1)))</f>
        <v>0.8</v>
      </c>
      <c r="AC21" s="1063" t="s">
        <v>597</v>
      </c>
      <c r="AD21" s="1064">
        <f t="shared" ref="AD21:AD26" si="25">CC21</f>
        <v>1</v>
      </c>
      <c r="AE21" s="1059">
        <f>IFERROR(BR21,"NO SE CALCULA")</f>
        <v>192</v>
      </c>
      <c r="AF21" s="1065">
        <f t="shared" ref="AF21:AF26" si="26">IF(OR(L21=2,L21=3),(SQRT(3)*O21*G21*((BL21*M21)+((SQRT(1-M21^2))*BM21))/(10*K21*AN21)),IF(L21=1,(2*O21*G21*(BL21*M21+SQRT(1-M21^2)*BM21)/(10*K21*AN21))))</f>
        <v>0.20388995662975976</v>
      </c>
      <c r="AG21" s="1065">
        <f t="shared" si="3"/>
        <v>2.19017767191017</v>
      </c>
      <c r="AH21" s="1065">
        <f t="shared" ref="AH21:AH26" si="27">1/SQRT(1+POWER((AX21/100),2))</f>
        <v>0.99875233887784465</v>
      </c>
      <c r="AI21" s="831" t="str">
        <f t="shared" ref="AI21:AI26" si="28">+IF(R21&lt;=(Y21*AN21),"SI","NO")</f>
        <v>SI</v>
      </c>
      <c r="AJ21" s="832" t="str">
        <f t="shared" ref="AJ21:AJ26" si="29">+IF(AL21="","FALTA DATO",IF(AK21&gt;=AL21,"SI","NO"))</f>
        <v>SI</v>
      </c>
      <c r="AK21" s="812">
        <f>SQRT((IF(AQ21="Cu",0.0297,0.0125))*LOG10((150+(IF(AQ21="Cu",234,228)))/(90+(IF(AQ21="Cu",234,228))))/U21)*LOOKUP(BU21,CONDUCTORES!$A$9:$A$62,CONDUCTORES!$W$9:$W$62)</f>
        <v>28.585003250037449</v>
      </c>
      <c r="AL21" s="758">
        <v>10</v>
      </c>
      <c r="AM21" s="548" t="s">
        <v>814</v>
      </c>
      <c r="AN21" s="548">
        <v>2</v>
      </c>
      <c r="AO21" s="548" t="s">
        <v>599</v>
      </c>
      <c r="AP21" s="548" t="s">
        <v>645</v>
      </c>
      <c r="AQ21" s="341" t="s">
        <v>601</v>
      </c>
      <c r="AR21" s="341" t="s">
        <v>97</v>
      </c>
      <c r="AS21" s="548">
        <v>1</v>
      </c>
      <c r="AT21" s="548">
        <v>1</v>
      </c>
      <c r="AU21" s="548" t="s">
        <v>613</v>
      </c>
      <c r="AV21" s="548">
        <v>1</v>
      </c>
      <c r="AW21" s="549" t="s">
        <v>657</v>
      </c>
      <c r="AX21" s="548">
        <v>5</v>
      </c>
      <c r="AY21" s="550" t="s">
        <v>175</v>
      </c>
      <c r="AZ21" s="547">
        <f>((( IF(L21=1,K21, (K21/SQRT(3))  )     /((((VLOOKUP(AM21,CONDUCTORES!$L$83:$N$97,IF(AQ21="Al",2,3),FALSE))/(AN21))*(G21/1000))+(((VLOOKUP(IF(BB21="No",IF(AO21="Multiconductor",AM21,(IF(AQ21="Al",LOOKUP(S21,CONDUCTORES!$A$111:$A$131,CONDUCTORES!$C$111:$C$131),LOOKUP(S21,CONDUCTORES!$A$111:$A$131,CONDUCTORES!$B$111:$B$131)))),BB21),CONDUCTORES!$L$83:$N$97,IF(AQ21="Al",2,3),FALSE))/IF(BB21="No",1,BA21))*(G21/1000))))/1000)/(S21))*1000</f>
        <v>91.656723964935935</v>
      </c>
      <c r="BA21" s="548">
        <v>2</v>
      </c>
      <c r="BB21" s="548" t="s">
        <v>810</v>
      </c>
      <c r="BC21" s="548">
        <v>1</v>
      </c>
      <c r="BD21" s="548" t="s">
        <v>605</v>
      </c>
      <c r="BE21" s="565">
        <f>BG21*((IF(Z21="BANDEJA",1,VLOOKUP(AA21,'% PORTADORES I'!$A$2:$B$42,2,FALSE)))*(IF(Z21="AÉREO",LOOKUP(BV21,CONDUCTORES!$A$156:$A$161,CONDUCTORES!$P$156:$P$161),IF(AND(Z21="BANDEJA",OR(AV21=0,AV21=1)),IF(BH21="Cu",LOOKUP(BV21,CONDUCTORES!$A$9:$A$62,CONDUCTORES!$M$9:$M$62),LOOKUP(BV21,CONDUCTORES!$A$9:$A$62,CONDUCTORES!$P$9:$P$62)),IF(OR(Z21="BANCO DE DUCTOS",Z21="TUBO"),IF(BH21="Cu",LOOKUP(BV21,CONDUCTORES!$A$9:$A$62,CONDUCTORES!$L$9:$L$62),LOOKUP(BV21,CONDUCTORES!$A$9:$A$62,CONDUCTORES!$O$9:$O$62)),IF(AND(Z21="BANDEJA",AV21=2.15),IF(BH21="Cu",LOOKUP(BV21,CONDUCTORES!$A$9:$A$62,CONDUCTORES!$N$9:$N$62),LOOKUP(BV21,CONDUCTORES!$A$9:$A$62,CONDUCTORES!$Q$9:$Q$62))))))))*AD21*AB21</f>
        <v>192</v>
      </c>
      <c r="BF21" s="548" t="str">
        <f t="shared" si="14"/>
        <v>2/0 AWG</v>
      </c>
      <c r="BG21" s="548">
        <f t="shared" si="11"/>
        <v>2</v>
      </c>
      <c r="BH21" s="341" t="s">
        <v>601</v>
      </c>
      <c r="BI21" s="641" t="str">
        <f t="shared" ref="BI21:BI26" si="30">IF(AO21="Monopolar","1/C  -",AP21)</f>
        <v>1/C  -</v>
      </c>
      <c r="BJ21" s="618">
        <f>IF(Z21="AÉREO",LOOKUP(BU21,CONDUCTORES!$A$156:$A$161,CONDUCTORES!$D$156:$D$161),LOOKUP(BU21,CONDUCTORES!$A$9:$A$62,CONDUCTORES!$D$9:$D$62))</f>
        <v>13.41</v>
      </c>
      <c r="BK21" s="621">
        <f>LOOKUP(BU21,CONDUCTORES!$A$9:$A$62,CONDUCTORES!$R$9:$R$62)</f>
        <v>24</v>
      </c>
      <c r="BL21" s="619">
        <f>IF(AQ21="Cu",LOOKUP(BU21,CONDUCTORES!$A$9:$A$62,CONDUCTORES!$H$9:$H$62),IF(AQ21="Al",LOOKUP(BU21,CONDUCTORES!$A$9:$A$62,CONDUCTORES!$J$9:$J$62),"Err Material"))</f>
        <v>0.55098750000000007</v>
      </c>
      <c r="BM21" s="619">
        <f>LOOKUP(BU21,CONDUCTORES!$A$9:$A$62,CONDUCTORES!$I$9:$I$62)</f>
        <v>0.17716535433070865</v>
      </c>
      <c r="BN21" s="620">
        <f t="shared" ref="BN21:BN26" si="31">AN21*Y21</f>
        <v>300</v>
      </c>
      <c r="BO21" s="625">
        <f t="shared" ref="BO21:BO26" si="32">CB21</f>
        <v>1</v>
      </c>
      <c r="BP21" s="620" t="str">
        <f>IF(BR21&gt;Q21,Listas!C$2,Listas!C$3)</f>
        <v>Si</v>
      </c>
      <c r="BQ21" s="620" t="str">
        <f>IF(AF21&lt;$BQ$12*100,Listas!C$2,Listas!C$3)</f>
        <v>Si</v>
      </c>
      <c r="BR21" s="621">
        <f>AN21*((IF(Z21="BANDEJA",1,VLOOKUP(AA21,'% PORTADORES I'!$A$2:$B$42,2,FALSE)))*(Y21))*AD21*AB21</f>
        <v>192</v>
      </c>
      <c r="BS21" s="621">
        <f t="shared" ref="BS21:BS26" si="33">IF(AW21="Generador",O21*1.15,IF(AW21="Trafo Primario",IF(O21&lt;2,O21*3,IF(AND(O21&gt;2,O21&lt;9),O21*1.67,O21*1.25)),IF(AW21="Trafo Primario - Secundario",O21*2.5,IF(AW21="Protección Tablero",IF(O21&lt;9,O21*1.67,O21*1.25),O21*1.25))))</f>
        <v>172.53326917676932</v>
      </c>
      <c r="BT21" s="642" t="str">
        <f t="shared" ref="BT21:BT26" si="34">+AM21</f>
        <v>2/0 AWG</v>
      </c>
      <c r="BU21" s="622">
        <f>IF(AO21="Monopolar",VLOOKUP(AM21,CONDUCTORES!$B$9:$X$23,23,FALSE),IF(AND(AM21="12 AWG",AO21="Multiconductor",AP21="2/C  -"),16,IF(AND(AM21="12 AWG",AO21="Multiconductor",AP21="3/C  -"),17,IF(AND(AM21="12 AWG",AO21="Multiconductor",AP21="4/C  -"),18,IF(AND(AM21="10 AWG",AO21="Multiconductor",AP21="2/C  -"),19,IF(AND(AM21="10 AWG",AO21="Multiconductor",AP21="3/C  -"),20,IF(AND(AM21="10 AWG",AO21="Multiconductor",AP21="4/C  -"),21,IF(AND(AM21="8 AWG",AO21="Multiconductor",AP21="2/C  -"),22,IF(AND(AM21="8 AWG",AO21="Multiconductor",AP21="3/C  -"),23,IF(AND(AM21="8 AWG",AO21="Multiconductor",AP21="4/C  -"),24,IF(AND(AM21="6 AWG",AO21="Multiconductor",AP21="2/C  -"),25,IF(AND(AM21="6 AWG",AO21="Multiconductor",AP21="3/C  -"),26,IF(AND(AM21="6 AWG",AO21="Multiconductor",AP21="4/C  -"),27,IF(AND(AM21="4 AWG",AO21="Multiconductor",AP21="2/C  -"),28,IF(AND(AM21="4 AWG",AO21="Multiconductor",AP21="3/C  -"),29,IF(AND(AM21="4 AWG",AO21="Multiconductor",AP21="4/C  -"),30,IF(AND(AM21="2 AWG",AO21="Multiconductor",AP21="2/C  -"),31,IF(AND(AM21="2 AWG",AO21="Multiconductor",AP21="3/C  -"),32,IF(AND(AM21="2 AWG",AO21="Multiconductor",AP21="4/C  -"),33,IF(AND(AM21="1/0 AWG",AO21="Multiconductor",AP21="2/C  -"),34,IF(AND(AM21="1/0 AWG",AO21="Multiconductor",AP21="3/C  -"),35,IF(AND(AM21="1/0 AWG",AO21="Multiconductor",AP21="4/C  -"),36,IF(AND(AM21="2/0 AWG",AO21="Multiconductor",AP21="2/C  -"),37,IF(AND(AM21="2/0 AWG",AO21="Multiconductor",AP21="3/C  -"),38,IF(AND(AM21="2/0 AWG",AO21="Multiconductor",AP21="4/C  -"),39,IF(AND(AM21="3/0 AWG",AO21="Multiconductor",AP21="2/C  -"),40,IF(AND(AM21="3/0 AWG",AO21="Multiconductor",AP21="3/C  -"),41,IF(AND(AM21="3/0 AWG",AO21="Multiconductor",AP21="4/C  -"),42,IF(AND(AM21="4/0 AWG",AO21="Multiconductor",AP21="2/C  -"),43,IF(AND(AM21="4/0 AWG",AO21="Multiconductor",AP21="3/C  -"),44,IF(AND(AM21="4/0 AWG",AO21="Multiconductor",AP21="4/C  -"),45,IF(AND(AM21="250 kcmil",AO21="Multiconductor",AP21="2/C  -"),46,IF(AND(AM21="250 kcmil",AO21="Multiconductor",AP21="3/C  -"),47,IF(AND(AM21="250 kcmil",AO21="Multiconductor",AP21="4/C  -"),48,IF(AND(AM21="350 kcmil",AO21="Multiconductor",AP21="2/C  -"),49,IF(AND(AM21="350 kcmil",AO21="Multiconductor",AP21="3/C  -"),50,IF(AND(AM21="350 kcmil",AO21="Multiconductor",AP21="4/C  -"),51,IF(AND(AM21="500 kcmil",AO21="Multiconductor",AP21="2/C  -"),52,IF(AND(AM21="500 kcmil",AO21="Multiconductor",AP21="3/C  -"),53,IF(AND(AM21="500 kcmil",AO21="Multiconductor",AP21="4/C  -"),54,FALSE))))))))))))))))))))))))))))))))))))))))</f>
        <v>8</v>
      </c>
      <c r="BV21" s="622">
        <f>IF(AO21="Monopolar",VLOOKUP(BF21,CONDUCTORES!$B$9:$X$23,23,FALSE),IF(AND(BF21="12 AWG",AO21="Multiconductor",AP21="2/C  -"),16,IF(AND(BF21="12 AWG",AO21="Multiconductor",AP21="3/C  -"),17,IF(AND(BF21="12 AWG",AO21="Multiconductor",AP21="4/C  -"),18,IF(AND(BF21="10 AWG",AO21="Multiconductor",AP21="2/C  -"),19,IF(AND(BF21="10 AWG",AO21="Multiconductor",AP21="3/C  -"),20,IF(AND(BF21="10 AWG",AO21="Multiconductor",AP21="4/C  -"),21,IF(AND(BF21="8 AWG",AO21="Multiconductor",AP21="2/C  -"),22,IF(AND(BF21="8 AWG",AO21="Multiconductor",AP21="3/C  -"),23,IF(AND(BF21="8 AWG",AO21="Multiconductor",AP21="4/C  -"),24,IF(AND(BF21="6 AWG",AO21="Multiconductor",AP21="2/C  -"),25,IF(AND(BF21="6 AWG",AO21="Multiconductor",AP21="3/C  -"),26,IF(AND(BF21="6 AWG",AO21="Multiconductor",AP21="4/C  -"),27,IF(AND(BF21="4 AWG",AO21="Multiconductor",AP21="2/C  -"),28,IF(AND(BF21="4 AWG",AO21="Multiconductor",AP21="3/C  -"),29,IF(AND(BF21="4 AWG",AO21="Multiconductor",AP21="4/C  -"),30,IF(AND(BF21="2 AWG",AO21="Multiconductor",AP21="2/C  -"),31,IF(AND(BF21="2 AWG",AO21="Multiconductor",AP21="3/C  -"),32,IF(AND(BF21="2 AWG",AO21="Multiconductor",AP21="4/C  -"),33,IF(AND(BF21="1/0 AWG",AO21="Multiconductor",AP21="2/C  -"),34,IF(AND(BF21="1/0 AWG",AO21="Multiconductor",AP21="3/C  -"),35,IF(AND(BF21="1/0 AWG",AO21="Multiconductor",AP21="4/C  -"),36,IF(AND(BF21="2/0 AWG",AO21="Multiconductor",AP21="2/C  -"),37,IF(AND(BF21="2/0 AWG",AO21="Multiconductor",AP21="3/C  -"),38,IF(AND(BF21="2/0 AWG",AO21="Multiconductor",AP21="4/C  -"),39,IF(AND(BF21="3/0 AWG",AO21="Multiconductor",AP21="2/C  -"),40,IF(AND(BF21="3/0 AWG",AO21="Multiconductor",AP21="3/C  -"),41,IF(AND(BF21="3/0 AWG",AO21="Multiconductor",AP21="4/C  -"),42,IF(AND(BF21="4/0 AWG",AO21="Multiconductor",AP21="2/C  -"),43,IF(AND(BF21="4/0 AWG",AO21="Multiconductor",AP21="3/C  -"),44,IF(AND(BF21="4/0 AWG",AO21="Multiconductor",AP21="4/C  -"),45,IF(AND(BF21="250 kcmil",AO21="Multiconductor",AP21="2/C  -"),46,IF(AND(BF21="250 kcmil",AO21="Multiconductor",AP21="3/C  -"),47,IF(AND(BF21="250 kcmil",AO21="Multiconductor",AP21="4/C  -"),48,IF(AND(BF21="350 kcmil",AO21="Multiconductor",AP21="2/C  -"),49,IF(AND(BF21="350 kcmil",AO21="Multiconductor",AP21="3/C  -"),50,IF(AND(BF21="350 kcmil",AO21="Multiconductor",AP21="4/C  -"),51,IF(AND(BF21="500 kcmil",AO21="Multiconductor",AP21="2/C  -"),52,IF(AND(BF21="500 kcmil",AO21="Multiconductor",AP21="3/C  -"),53,IF(AND(BF21="500 kcmil",AO21="Multiconductor",AP21="4/C  -"),54,FALSE))))))))))))))))))))))))))))))))))))))))</f>
        <v>8</v>
      </c>
      <c r="BW21" s="623">
        <f t="shared" ref="BW21:BW26" si="35">BS21/BR21</f>
        <v>0.89861077696234026</v>
      </c>
      <c r="BX21" s="624">
        <f t="shared" ref="BX21:BX26" si="36">CA21</f>
        <v>1</v>
      </c>
      <c r="BY21" s="625">
        <f t="shared" ref="BY21:BY26" si="37">IF(AND(AU21="CON TAPA",OR(AM21="12 AWG",AM21="10 AWG",AM21="8 AWG",AM21="6 AWG",AM21="4 AWG",AM21="2 AWG",AM21="1 AWG",AM21="1/0 AWG",AM21="2/0 AWG",AM21="3/0 AWG",AM21="4/0 AWG",AM21="250 kcmil",AM21="350 kcmil",AM21="500 kcmil")),0.6,IF(AND(AU21="CON TAPA",OR(AM21="750 kcmil",AM21="1000 kcmil")),0.7,IF(AND(AU21="SIN TAPA",OR(AM21="12 AWG",AM21="10 AWG",AM21="8 AWG",AM21="6 AWG",AM21="4 AWG",AM21="2 AWG",AM21="1 AWG",AM21="1/0 AWG",AM21="2/0 AWG",AM21="3/0 AWG",AM21="4/0 AWG",AM21="250 kcmil",AM21="350 kcmil",AM21="500 kcmil"),AV21=0),0.65,IF(AND(AU21="SIN TAPA",OR(AM21="750 kcmil",AM21="1000 kcmil"),AV21=0),0.75,IF(AND(AU21="SIN TAPA",OR(AV21=1,AV21=2.15)),1,"otro")))))</f>
        <v>0.6</v>
      </c>
      <c r="BZ21" s="625">
        <f t="shared" ref="BZ21:BZ26" si="38">IF(AND(AA21&lt;4,AA21&gt;=1),1,IF(AND(AA21&lt;=6,AA21&gt;=4),0.8,IF(AND(AA21&lt;=9,AA21&gt;=7),0.7,IF(AND(AA21&lt;=20,AA21&gt;=10),0.5,IF(AND(AA21&lt;=30,AA21&gt;=21),0.45,IF(AND(AA21&lt;=40,AA21&gt;=31),0.4,IF(AA21&gt;=41,0.35,"")))))))</f>
        <v>0.8</v>
      </c>
      <c r="CA21" s="626">
        <f>IF(AS21&gt;4,"# FILAS Fuera de rango",IF(AT21&gt;15,"#COLUMNAS Fuera de rango",IF(BU21=0,"CALIBRE CABLE CERO",IF(OR(BU21=1,BU21=16,BU21=17,BU21=18),INDEX('0-5000'!$D$4:$R$7,AS21,AT21),IF(OR(BU21=2,BU21=19,BU21=20,BU21=21),INDEX('0-5000'!$D$8:$R$11,AS21,AT21),IF(OR(BU21=3,BU21=22,BU21=23,BU21=24),INDEX('0-5000'!$D$12:$R$15,AS21,AT21),IF(OR(BU21=4,BU21=25,BU21=26,BU21=27),INDEX('0-5000'!$D$16:$R$19,AS21,AT21),CB21)))))))</f>
        <v>1</v>
      </c>
      <c r="CB21" s="627">
        <f>IF(OR(BU21=1,BU21=16,BU21=17,BU21=18),INDEX('0-5000'!$D$4:$R$7,AS21,AT21),IF(OR(BU21=2,BU21=19,BU21=20,BU21=21),INDEX('0-5000'!$D$8:$R$11,AS21,AT21),IF(OR(BU21=3,BU21=22,BU21=23,BU21=24),INDEX('0-5000'!$D$12:$R$15,AS21,AT21),IF(OR(BU21=4,BU21=25,BU21=26,BU21=27),INDEX('0-5000'!$D$18:$R$19,AS21,AT21),IF(OR(BU21=5,BU21=28,BU21=29,BU21=30),INDEX('0-5000'!$D$20:$R$23,AS21,AT21),IF(OR(BU21=6,BU21=31,BU21=32,BU21=33),INDEX('0-5000'!$D$24:$R$27,AS21,AT21),IF(OR(BU21=7,BU21=34,BU21=35,BU21=36),INDEX('0-5000'!$D$32:$R$35,AS21,AT21),IF(OR(BU21=8,BU21=37,BU21=38,BU21=39),INDEX('0-5000'!$D$36:$R$39,AS21,AT21),IF(OR(BU21=9,BU21=40,BU21=41,BU21=42),INDEX('0-5000'!$D$40:$R$43,AS21,AT21),IF(OR(BU21=10,BU21=43,BU21=44,BU21=45),INDEX('0-5000'!$D$44:$R$47,AS21,AT21),IF(OR(BU21=11,BU21=46,BU21=47,BU21=48),INDEX('0-5000'!$D$48:$R$51,AS21,AT21),IF(OR(BU21=12,BU21=49,BU21=50,BU21=51),INDEX('0-5000'!$D$52:$R$55,AS21,AT21),IF(OR(BU21=13,BU21=52,BU21=53,BU21=54),INDEX('0-5000'!$D$56:$R$59,AS21,AT21),IF(OR(BU21=14,BU21=55,BU21=56,BU21=57),INDEX('0-5000'!$D$60:$R$63,AS21,AT21),IF(BU21=15,INDEX('0-5000'!$D$64:$R$67,AS21,AT21),"# CABLE Fuera de Rango")))))))))))))))</f>
        <v>1</v>
      </c>
      <c r="CC21" s="643">
        <f>VLOOKUP($AC21,Listas!$A$20:$B$29,2,FALSE)</f>
        <v>1</v>
      </c>
      <c r="CD21" s="616">
        <f t="shared" ref="CD21:CD26" si="39">LEN(C21)-LEN(SUBSTITUTE(C21,IF(ISNUMBER(FIND(".",C21)),".",","),""))</f>
        <v>2</v>
      </c>
    </row>
    <row r="22" spans="2:82" ht="43.5" customHeight="1" x14ac:dyDescent="0.25">
      <c r="B22" s="338">
        <f>+IF(OR(CD22=0,CD22=1),0,COUNTIF(CD$15:CD22,CD22))</f>
        <v>5</v>
      </c>
      <c r="C22" s="819" t="str">
        <f>+_xlfn.CONCAT($C$17,".",SUBTOTAL(103,$D$18:D22))</f>
        <v>2.1.5</v>
      </c>
      <c r="D22" s="820" t="str">
        <f>+Longitudes!C14</f>
        <v>VFD-DT-58</v>
      </c>
      <c r="E22" s="821" t="s">
        <v>1997</v>
      </c>
      <c r="F22" s="1040" t="str">
        <f>+Longitudes!B14</f>
        <v>TBT-DT-97</v>
      </c>
      <c r="G22" s="1311">
        <f>+Longitudes!L14</f>
        <v>5</v>
      </c>
      <c r="H22" s="828"/>
      <c r="I22" s="1312">
        <f>'Demanda Trafo A'!S7</f>
        <v>62.53</v>
      </c>
      <c r="J22" s="829" t="s">
        <v>595</v>
      </c>
      <c r="K22" s="827">
        <v>480</v>
      </c>
      <c r="L22" s="827">
        <v>3</v>
      </c>
      <c r="M22" s="830">
        <f>+'H1-CUADRO DE CARGAS'!$M$12</f>
        <v>0.79600000000000004</v>
      </c>
      <c r="N22" s="830">
        <f>+'H1-CUADRO DE CARGAS'!$O$12</f>
        <v>0.94099999999999995</v>
      </c>
      <c r="O22" s="1045">
        <f>(IF(L22=1,IF(J22="HP",(I22*746)/(K22*M22),IF(J22="kVA",I22*1000/K22,IF(J22="kW",I22*1000/(K22*M22),""))),IF(L22=3,IF(J22="HP",IF(OR(K22=4160,K22=34500),((I22*0.746)/M22)*1000/(SQRT(3)*K22*N22),IF(AND(K22&lt;=480,K22&gt;=440),VLOOKUP(I22,'I Plena Carga'!$C$3:$I$29,7),IF(AND(K22&lt;=240,K22&gt;=220),VLOOKUP(I22,'I Plena Carga'!$C$3:$G$29,5),IF(K22=208,VLOOKUP(I22,'I Plena Carga'!$C$3:$F$29,4),IF(AND(K22&lt;=127,K22&gt;=110),VLOOKUP(I22,'I Plena Carga'!$C$3:$D$29,2),""))))),IF(J22="kVA",I22*1000/(SQRT(3)*K22),IF(J22="kW",I22*1000/(SQRT(3)*K22*M22),""))),IF(L22=2,IF(J22="HP",(I22*746)/(K22*M22),IF(J22="kVA",I22*1000/(K22),IF(J22="kW",I22*1000/(K22*M22),""))),"Rev.#Fases"))))*(SQRT(1+((AX22/100)^2)))</f>
        <v>75.305856882459722</v>
      </c>
      <c r="P22" s="1046" t="str">
        <f t="shared" si="21"/>
        <v>N/A</v>
      </c>
      <c r="Q22" s="1047">
        <f t="shared" si="22"/>
        <v>94.132321103074645</v>
      </c>
      <c r="R22" s="1047">
        <f t="shared" ref="R22:R26" si="40">IF(OR(MID(D22,1,1)="J"),"N/A",S22)</f>
        <v>100</v>
      </c>
      <c r="S22" s="1047">
        <f>(IF((IF(OR(AW22="Trafo Primario",AW22="Trafo Primario - Secundario",AW22="Protección Tablero"),BS22,Q22))&lt;CONDUCTORES!$E$111,CONDUCTORES!$E$111,IF((IF(OR(AW22="Trafo Primario",AW22="Trafo Primario - Secundario",AW22="Protección Tablero"),BS22,Q22))&lt;CONDUCTORES!$E$112,CONDUCTORES!$E$112,IF((IF(OR(AW22="Trafo Primario",AW22="Trafo Primario - Secundario",AW22="Protección Tablero"),BS22,Q22))&lt;CONDUCTORES!$E$113,CONDUCTORES!$E$113,IF((IF(OR(AW22="Trafo Primario",AW22="Trafo Primario - Secundario",AW22="Protección Tablero"),BS22,Q22))&lt;CONDUCTORES!$E$114,CONDUCTORES!$E$114,IF((IF(OR(AW22="Trafo Primario",AW22="Trafo Primario - Secundario",AW22="Protección Tablero"),BS22,Q22))&lt;CONDUCTORES!$E$115,CONDUCTORES!$E$115,IF((IF(OR(AW22="Trafo Primario",AW22="Trafo Primario - Secundario",AW22="Protección Tablero"),BS22,Q22))&lt;CONDUCTORES!$E$116,CONDUCTORES!$E$116,IF((IF(OR(AW22="Trafo Primario",AW22="Trafo Primario - Secundario",AW22="Protección Tablero"),BS22,Q22))&lt;CONDUCTORES!$E$117,CONDUCTORES!$E$117,IF((IF(OR(AW22="Trafo Primario",AW22="Trafo Primario - Secundario",AW22="Protección Tablero"),BS22,Q22))&lt;CONDUCTORES!$E$118,CONDUCTORES!$E$118,IF((IF(OR(AW22="Trafo Primario",AW22="Trafo Primario - Secundario",AW22="Protección Tablero"),BS22,Q22))&lt;CONDUCTORES!$E$119,CONDUCTORES!$E$119,IF((IF(OR(AW22="Trafo Primario",AW22="Trafo Primario - Secundario",AW22="Protección Tablero"),BS22,Q22))&lt;CONDUCTORES!$E$120,CONDUCTORES!$E$120,IF((IF(OR(AW22="Trafo Primario",AW22="Trafo Primario - Secundario",AW22="Protección Tablero"),BS22,Q22))&lt;CONDUCTORES!$E$121,CONDUCTORES!$E$121,IF((IF(AND(AW22="Trafo Primario",AW22="Trafo Primario - Secundario",AW22="Protección Tablero"),BS22,Q22))&lt;CONDUCTORES!$E$122,CONDUCTORES!$E$122,IF((IF(OR(AW22="Trafo Primario",AW22="Trafo Primario - Secundario",AW22="Protección Tablero"),BS22,Q22))&lt;CONDUCTORES!$E$123,CONDUCTORES!$E$123,IF((IF(OR(AW22="Trafo Primario",AW22="Trafo Primario - Secundario",AW22="Protección Tablero"),BS22,Q22))&lt;CONDUCTORES!$E$124,CONDUCTORES!$E$124,IF((IF(OR(AW22="Trafo Primario",AW22="Trafo Primario - Secundario",AW22="Protección Tablero"),BS22,Q22))&lt;CONDUCTORES!$E$125,CONDUCTORES!$E$125,IF((IF(OR(AW22="Trafo Primario",AW22="Trafo Primario - Secundario",AW22="Protección Tablero"),BS22,Q22))&lt;CONDUCTORES!$E$126,CONDUCTORES!$E$126,IF((IF(OR(AW22="Trafo Primario",AW22="Trafo Primario - Secundario",AW22="Protección Tablero"),BS22,Q22))&lt;CONDUCTORES!$E$127,CONDUCTORES!$E$127,IF((IF(OR(AW22="Trafo Primario",AW22="Trafo Primario - Secundario",AW22="Protección Tablero"),BS22,Q22))&lt;CONDUCTORES!$E$128,CONDUCTORES!$E$128,IF((IF(OR(AW22="Trafo Primario",AW22="Trafo Primario - Secundario",AW22="Protección Tablero"),BS22,Q22))&lt;CONDUCTORES!$E$129,CONDUCTORES!$E$129,IF((IF(OR(AW22="Trafo Primario",AW22="Trafo Primario - Secundario",AW22="Protección Tablero"),BS22,Q22))&lt;CONDUCTORES!$E$130,CONDUCTORES!$E$130,IF((IF(OR(AW22="Trafo Primario",AW22="Trafo Primario - Secundario",AW22="Protección Tablero"),BS22,Q22))&lt;CONDUCTORES!$E$131,CONDUCTORES!$E$131,IF((IF(OR(AW22="Trafo Primario",AW22="Trafo Primario - Secundario",AW22="Protección Tablero"),BS22,Q22))&lt;CONDUCTORES!$E$132,CONDUCTORES!$E$132,IF((IF(OR(AW22="Trafo Primario",AW22="Trafo Primario - Secundario",AW22="Protección Tablero"),BS22,Q22))&lt;CONDUCTORES!$E$133,CONDUCTORES!$E$133,IF((IF(OR(AW22="Trafo Primario",AW22="Trafo Primario - Secundario",AW22="Protección Tablero"),BS22,Q22))&lt;CONDUCTORES!$E$134,CONDUCTORES!$E$134,IF((IF(OR(AW22="Trafo Primario",AW22="Trafo Primario - Secundario",AW22="Protección Tablero"),BS22,Q22))&lt;CONDUCTORES!$E$135,CONDUCTORES!$E$135,IF((IF(OR(AW22="Trafo Primario",AW22="Trafo Primario - Secundario",AW22="Protección Tablero"),BS22,Q22))&lt;CONDUCTORES!$E$136,CONDUCTORES!$E$136,IF((IF(OR(AW22="Trafo Primario",AW22="Trafo Primario - Secundario",AW22="Protección Tablero"),BS22,Q22))&lt;CONDUCTORES!$E$137,CONDUCTORES!$E$137,IF((IF(OR(AW22="Trafo Primario",AW22="Trafo Primario - Secundario",AW22="Protección Tablero"),BS22,Q22))&lt;CONDUCTORES!$E$138,CONDUCTORES!$E$138,IF((IF(OR(AW22="Trafo Primario",AW22="Trafo Primario - Secundario",AW22="Protección Tablero"),BS22,Q22))&lt;CONDUCTORES!$E$139,CONDUCTORES!$E$139,IF((IF(OR(AW22="Trafo Primario",AW22="Trafo Primario - Secundario",AW22="Protección Tablero"),BS22,Q22))&lt;CONDUCTORES!$E$140,CONDUCTORES!$E$140,IF((IF(OR(AW22="Trafo Primario",AW22="Trafo Primario - Secundario",AW22="Protección Tablero"),BS22,Q22))&lt;CONDUCTORES!$E$141,CONDUCTORES!$E$141,IF((IF(OR(AW22="Trafo Primario",AW22="Trafo Primario - Secundario",AW22="Protección Tablero"),BS22,Q22))&lt;CONDUCTORES!$E$142,CONDUCTORES!$E$142,IF((IF(OR(AW22="Trafo Primario",AW22="Trafo Primario - Secundario",AW22="Protección Tablero"),BS22,Q22))&lt;CONDUCTORES!$E$143,CONDUCTORES!$E$143,IF((IF(OR(AW22="Trafo Primario",AW22="Trafo Primario - Secundario",AW22="Protección Tablero"),BS22,Q22))&lt;CONDUCTORES!$E$144,CONDUCTORES!$E$144,IF((IF(OR(AW22="Trafo Primario",AW22="Trafo Primario - Secundario",AW22="Protección Tablero"),BS22,Q22))&lt;CONDUCTORES!$E$145,CONDUCTORES!$E$145,IF((IF(OR(AW22="Trafo Primario",AW22="Trafo Primario - Secundario",AW22="Protección Tablero"),BS22,Q22))&lt;CONDUCTORES!$E$146,CONDUCTORES!$E$146,IF((IF(OR(AW22="Trafo Primario",AW22="Trafo Primario - Secundario",AW22="Protección Tablero"),BS22,Q22))&lt;CONDUCTORES!$E$147,CONDUCTORES!$E$147,IF((IF(OR(AW22="Trafo Primario",AW22="Trafo Primario - Secundario",AW22="Protección Tablero"),BS22,Q22))&lt;CONDUCTORES!$E$148,CONDUCTORES!$E$148,IF((IF(OR(AW22="Trafo Primario",AW22="Trafo Primario - Secundario",AW22="Protección Tablero"),BS22,Q22))&lt;CONDUCTORES!$E$149,CONDUCTORES!$E$149,))))))))))))))))))))))))))))))))))))))))</f>
        <v>100</v>
      </c>
      <c r="T22" s="1048">
        <f>IF(AZ22&lt;10,CONCATENATE(ROUND(((IF(L22=1,K22,K22/SQRT(3)))/((((VLOOKUP(AM22,CONDUCTORES!$L$83:$N$97,IF(AQ22="Al",2,3),FALSE))/(AN22))*(G22/1000))+(((VLOOKUP(IF(BB22="No",(IF(AQ22="Al",LOOKUP(S22,CONDUCTORES!$A$111:$A$131,CONDUCTORES!$C$111:$C$131),LOOKUP(S22,CONDUCTORES!$A$111:$A$131,CONDUCTORES!$B$111:$B$131))),BB22),CONDUCTORES!$L$83:$N$97,IF(AQ22="Al",2,3),FALSE))/IF(BB22="No",1,BA22))*(G22/1000))))/1000,2)," &lt; 10*Inp"),((IF(L22=1,K22,K22/SQRT(3)))/((((VLOOKUP(AM22,CONDUCTORES!$L$83:$N$97,IF(AQ22="Al",2,3),FALSE))/(AN22))*(G22/1000))+(((VLOOKUP(IF(BB22="No",(IF(AQ22="Al",LOOKUP(S22,CONDUCTORES!$A$111:$A$131,CONDUCTORES!$C$111:$C$131),LOOKUP(S22,CONDUCTORES!$A$111:$A$131,CONDUCTORES!$B$111:$B$131))),BB22),CONDUCTORES!$L$83:$N$97,IF(AQ22="Al",2,3),FALSE))/IF(BB22="No",1,BA22))*(G22/1000))))/1000)</f>
        <v>22.704840343743129</v>
      </c>
      <c r="U22" s="830">
        <v>0.02</v>
      </c>
      <c r="V22" s="1062" t="str">
        <f t="shared" si="23"/>
        <v>ALUMINIO, XHHW-2, 600 V, 90°C, Monopolar</v>
      </c>
      <c r="W22" s="1055" t="str">
        <f>IF(Z22="AÉREO",CONCATENATE(AN22,"x[3x(1x",AM22,")] + ",AN22,"x(1Nx",(VLOOKUP(BU22,CONDUCTORES!$A$156:$Y$161,25,FALSE))," AWG)"),IF(AND(AO22="Multiconductor",AY22="SI"),(CONCATENATE(AN22,"x(",IF(AO22="Monopolar",L22,IF(AW22="Motor Alimentado de VFD",3,MID(AP22,1,1))),"x",AM22,IF(AW22="Motor Alimentado de VFD",,")")," + ",IF(BD22="No","",CONCATENATE(" ",AN22,"x(",BC22,"Nx",BD22,") + ")),IF(AW22="Motor Alimentado de VFD",,IF(ISERROR(VLOOKUP(D22,'H4-CANALIZACIONES'!$C$28:$AN$40,COLUMN('H4-CANALIZACIONES'!#REF!),FALSE))=TRUE,AN22,VLOOKUP(D22,'H4-CANALIZACIONES'!$C$28:$AN$40,COLUMN('H4-CANALIZACIONES'!#REF!),FALSE))),IF(AW22="Motor Alimentado de VFD",,"x("),IF(BB22="No",IF(AW22="Motor Alimentado de VFD",3,1),BA22),"Gx",(IF(AQ22="Al",IF(AW22="Motor Alimentado de VFD",VLOOKUP(AM22,CONDUCTORES!$H$84:$J$98,3,FALSE),IF(BB22="No",LOOKUP(S22,CONDUCTORES!$A$111:$A$131,CONDUCTORES!$C$111:$C$131),BB22)),IF(AW22="Motor Alimentado de VFD",VLOOKUP(AM22,CONDUCTORES!$H$84:$J$98,3,FALSE),IF(BB22="No",LOOKUP(S22,CONDUCTORES!$A$111:$A$131,CONDUCTORES!$B$111:$B$131),BB22)))),")")),(IF(AO22="Multiconductor",CONCATENATE(AN22,"x(",IF(AO22="Monopolar",L22,IF(AW22="Motor Alimentado de VFD",3,MID(AP22,1,1))),"x",AM22,IF(AW22="Motor Alimentado de VFD",CONCATENATE(" + 3Gx",VLOOKUP(AM22,CONDUCTORES!$H$84:$J$98,3,FALSE)),""),")"),(IF(AND(K22=480,AY22="No"),CONCATENATE(AN22,"x[",L22,"x(1x",AM22,")]",IF(BD22="No","",CONCATENATE(" ",AN22,"x(",BC22,"Nx",BD22,")"))),IF(AND(AO22="Monopolar",K22&lt;&gt;34500,Z22&lt;&gt;"BANDEJA"),CONCATENATE(AN22,"x[",L22,"x(1x",AM22,")] + ",IF(BD22="No","",CONCATENATE(" ",AN22,"x(",BC22,"Nx",BD22,") + ")),IF(ISERROR(VLOOKUP(D22,'H4-CANALIZACIONES'!$C$28:$AN$40,COLUMN('H4-CANALIZACIONES'!#REF!),FALSE))=TRUE,'H4-CANALIZACIONES'!AO32,VLOOKUP(D22,'H4-CANALIZACIONES'!$C$28:$AN$40,COLUMN('H4-CANALIZACIONES'!#REF!),FALSE)),"x(",IF(BB22="No",1,BA22),"Gx",(IF(AQ22="Al",IF(AW22="Motor Alimentado de VFD",VLOOKUP(AM22,CONDUCTORES!$H$84:$J$98,3,FALSE),IF(BB22="No",LOOKUP(S22,CONDUCTORES!$A$111:$A$131,CONDUCTORES!$C$111:$C$131),BB22)),IF(AW22="Motor Alimentado de VFD",VLOOKUP(AM22,CONDUCTORES!$H$84:$J$98,3,FALSE),IF(BB22="No",LOOKUP(S22,CONDUCTORES!$A$111:$A$131,CONDUCTORES!$B$111:$B$131),BB22)))),")"),IF(K22=34500,CONCATENATE(AN22,"x[",L22,"x(1x",AM22,")]"),IF(AND(AY22="SI"),CONCATENATE(AN22,"x[",IF(AO22="Monopolar",L22,MID(AP22,1,1)),"x(1x",AM22,")] + ",IF(BD22="No","",CONCATENATE(" ",AN22,"x(",BC22,"Nx",BD22,") + ")),1,"x(",IF(BB22="No",1,BA22),"Gx",(IF(AQ22="Al",IF(AW22="Motor Alimentado de VFD",VLOOKUP(AM22,CONDUCTORES!$H$84:$J$98,3,FALSE),IF(BB22="No",LOOKUP(S22,CONDUCTORES!$A$111:$A$131,CONDUCTORES!$C$111:$C$131),BB22)),IF(AW22="Motor Alimentado de VFD",VLOOKUP(AM22,CONDUCTORES!$H$84:$J$98,3,FALSE),IF(BB22="No",LOOKUP(S22,CONDUCTORES!$A$111:$A$131,CONDUCTORES!$B$111:$B$131),BB22)))),")"),CONCATENATE(AN22,"x(",IF(AO22="Monopolar",L22,MID(AP22,1,1)),"x",AM22,")"))))))))))</f>
        <v>1x[3x(1x1/0 AWG)] + 1x(1Gx4 AWG)</v>
      </c>
      <c r="X22" s="1062" t="str">
        <f>IF(AND(AN22&gt;=2,OR(AM22="12 AWG",AM22="10 AWG",AM22="8 AWG",AM22="6 AWG",AM22="4 AWG",AM22="2 AWG")),"NO SE PERMITEN "&amp;AN22&amp;" CONDUCTORES DE "&amp;AM22&amp;"",""&amp;IF(AN22=1,"",IF(AN22=2,"1/2-",IF(AN22=3,"1/2/3-",IF(AN22=4,"1/2/3/4-",IF(AN22=5,"1/2/3/4/5-",IF(AN22=6,"1/2/3/4/5/6-",IF(AN22=7,"1/2/3/4/5/6/7-",IF(AN22=8,"1/2/3/4/5/6/7/8-",IF(AN22=9,"1/2/3/4/5/6/7/8/9-","1/2/3/4/5/6/7/8/9/10-")))))))))&amp;""&amp;IF(MID(D22,1,1)="H","H",IF(MID(D22,1,3)="ILU","A","P"))&amp;"-"&amp;IF(OR(AND(AO22="Monopolar",AY22="SI"),AND(AO22="Multiconductor",AP22="4/C  -")),"06",IF(AND(AO22="Monopolar",AY22="No"),"05",IF(AND(AO22="Multiconductor",AP22="3/C  -",AY22="No"),IF(AW22="Motor Alimentado de VFD","06",IF(AND(AO22="Multiconductor",AP22="2/C  -",AY22="No"),"01",IF(AW22="Otra Carga","02","04"))))))&amp;"-"&amp;VLOOKUP(K22,'CODIFICACIÓN ECO'!$F$5:$G$21,2,FALSE)&amp;"-"&amp;D22&amp;"")</f>
        <v>P-06-08-VFD-DT-58</v>
      </c>
      <c r="Y22" s="1061">
        <f>IF(Z22="AÉREO",LOOKUP(BU22,CONDUCTORES!$A$156:$A$161,CONDUCTORES!$P$156:$P$161),IF(AND(Z22="BANDEJA",AQ22="Cu",OR(AV22=0,AV22=1)),LOOKUP(BU22,CONDUCTORES!$A$9:$A$62,CONDUCTORES!$M$9:$M$62),IF(AND(OR(Z22="BANCO DE DUCTOS",Z22="TUBO"),AQ22="Cu"),LOOKUP(BU22,CONDUCTORES!$A$9:$A$62,CONDUCTORES!$L$9:$L$62),IF(AND(Z22="BANDEJA",AQ22="Al",OR(AV22=0,AV22=1)),LOOKUP(BU22,CONDUCTORES!$A$9:$A$62,CONDUCTORES!$P$9:$P$62),IF(AND(OR(Z22="BANCO DE DUCTOS",Z22="TUBO"),AQ22="Al"),LOOKUP(BU22,CONDUCTORES!$A$9:$A$62,CONDUCTORES!$O$9:$O$62),IF(AND(Z22="BANDEJA",AQ22="Cu",AV22=2.15),LOOKUP(BU22,CONDUCTORES!$A$9:$A$62,CONDUCTORES!$N$9:$N$62),IF(AND(Z22="BANDEJA",AQ22="Al",AV22=2.15),LOOKUP(BU22,CONDUCTORES!$A$9:$A$62,CONDUCTORES!$Q$9:$Q$62),"")))))))</f>
        <v>135</v>
      </c>
      <c r="Z22" s="1062" t="s">
        <v>596</v>
      </c>
      <c r="AA22" s="1061">
        <f>IF(ISERROR(VLOOKUP(D22,'H4-CANALIZACIONES'!$C$2:$AN$36,3,FALSE))=TRUE,(IF(AO22="Multiconductor",IF(AW22="Motor Alimentado de VFD",3,IF(K22=120,1,(MID(AP22,1,1))-1)),L22)),IF(MOD(MID(W22,1,1),IF(VLOOKUP(D22,'H4-CANALIZACIONES'!$C$2:$AN$36,COLUMN('H4-CANALIZACIONES'!Y9),FALSE)="--",1,VLOOKUP(D22,'H4-CANALIZACIONES'!$C$26:$AN$36,COLUMN('H4-CANALIZACIONES'!Y9),FALSE)))=0,(MID(W22,1,1)/IF(VLOOKUP(D22,'H4-CANALIZACIONES'!$C$2:$AN$36,COLUMN('H4-CANALIZACIONES'!Y9),FALSE)="--",1,VLOOKUP(D22,'H4-CANALIZACIONES'!$C$26:$AN$36,COLUMN('H4-CANALIZACIONES'!Y9),FALSE)))*(IF(AO22="Multiconductor",IF(AW22="Motor Alimentado de VFD",3,IF(K22=120,1,(MID(AP22,1,1))-1)),L22)),"NO"))</f>
        <v>3</v>
      </c>
      <c r="AB22" s="1056">
        <f t="shared" si="24"/>
        <v>1</v>
      </c>
      <c r="AC22" s="1063" t="s">
        <v>597</v>
      </c>
      <c r="AD22" s="1064">
        <f t="shared" si="25"/>
        <v>1</v>
      </c>
      <c r="AE22" s="1059">
        <f t="shared" ref="AE22:AE26" si="41">IFERROR(BR22,"NO SE CALCULA")</f>
        <v>135</v>
      </c>
      <c r="AF22" s="1065">
        <f t="shared" si="26"/>
        <v>8.9299059058151969E-2</v>
      </c>
      <c r="AG22" s="1065">
        <f t="shared" si="3"/>
        <v>2.2794767309683222</v>
      </c>
      <c r="AH22" s="1065">
        <f t="shared" si="27"/>
        <v>0.99875233887784465</v>
      </c>
      <c r="AI22" s="831" t="str">
        <f t="shared" si="28"/>
        <v>SI</v>
      </c>
      <c r="AJ22" s="832" t="str">
        <f t="shared" si="29"/>
        <v>NO</v>
      </c>
      <c r="AK22" s="812">
        <f>SQRT((IF(AQ22="Cu",0.0297,0.0125))*LOG10((150+(IF(AQ22="Cu",234,228)))/(90+(IF(AQ22="Cu",234,228))))/U22)*LOOKUP(BU22,CONDUCTORES!$A$9:$A$62,CONDUCTORES!$W$9:$W$62)</f>
        <v>22.745745819268617</v>
      </c>
      <c r="AL22" s="758">
        <v>35</v>
      </c>
      <c r="AM22" s="548" t="s">
        <v>598</v>
      </c>
      <c r="AN22" s="548">
        <v>1</v>
      </c>
      <c r="AO22" s="548" t="s">
        <v>599</v>
      </c>
      <c r="AP22" s="548" t="s">
        <v>645</v>
      </c>
      <c r="AQ22" s="341" t="s">
        <v>601</v>
      </c>
      <c r="AR22" s="341" t="s">
        <v>97</v>
      </c>
      <c r="AS22" s="548">
        <v>1</v>
      </c>
      <c r="AT22" s="548">
        <v>1</v>
      </c>
      <c r="AU22" s="548" t="s">
        <v>613</v>
      </c>
      <c r="AV22" s="548">
        <v>1</v>
      </c>
      <c r="AW22" s="549" t="s">
        <v>657</v>
      </c>
      <c r="AX22" s="548">
        <v>5</v>
      </c>
      <c r="AY22" s="550" t="s">
        <v>175</v>
      </c>
      <c r="AZ22" s="547">
        <f>((( IF(L22=1,K22, (K22/SQRT(3))  )     /((((VLOOKUP(AM22,CONDUCTORES!$L$83:$N$97,IF(AQ22="Al",2,3),FALSE))/(AN22))*(G22/1000))+(((VLOOKUP(IF(BB22="No",IF(AO22="Multiconductor",AM22,(IF(AQ22="Al",LOOKUP(S22,CONDUCTORES!$A$111:$A$131,CONDUCTORES!$C$111:$C$131),LOOKUP(S22,CONDUCTORES!$A$111:$A$131,CONDUCTORES!$B$111:$B$131)))),BB22),CONDUCTORES!$L$83:$N$97,IF(AQ22="Al",2,3),FALSE))/IF(BB22="No",1,BA22))*(G22/1000))))/1000)/(S22))*1000</f>
        <v>227.04840343743129</v>
      </c>
      <c r="BA22" s="548">
        <v>1</v>
      </c>
      <c r="BB22" s="548" t="s">
        <v>810</v>
      </c>
      <c r="BC22" s="548">
        <v>1</v>
      </c>
      <c r="BD22" s="548" t="s">
        <v>605</v>
      </c>
      <c r="BE22" s="565">
        <f>BG22*((IF(Z22="BANDEJA",1,VLOOKUP(AA22,'% PORTADORES I'!$A$2:$B$42,2,FALSE)))*(IF(Z22="AÉREO",LOOKUP(BV22,CONDUCTORES!$A$156:$A$161,CONDUCTORES!$P$156:$P$161),IF(AND(Z22="BANDEJA",OR(AV22=0,AV22=1)),IF(BH22="Cu",LOOKUP(BV22,CONDUCTORES!$A$9:$A$62,CONDUCTORES!$M$9:$M$62),LOOKUP(BV22,CONDUCTORES!$A$9:$A$62,CONDUCTORES!$P$9:$P$62)),IF(OR(Z22="BANCO DE DUCTOS",Z22="TUBO"),IF(BH22="Cu",LOOKUP(BV22,CONDUCTORES!$A$9:$A$62,CONDUCTORES!$L$9:$L$62),LOOKUP(BV22,CONDUCTORES!$A$9:$A$62,CONDUCTORES!$O$9:$O$62)),IF(AND(Z22="BANDEJA",AV22=2.15),IF(BH22="Cu",LOOKUP(BV22,CONDUCTORES!$A$9:$A$62,CONDUCTORES!$N$9:$N$62),LOOKUP(BV22,CONDUCTORES!$A$9:$A$62,CONDUCTORES!$Q$9:$Q$62))))))))*AD22*AB22</f>
        <v>135</v>
      </c>
      <c r="BF22" s="548" t="str">
        <f t="shared" si="14"/>
        <v>1/0 AWG</v>
      </c>
      <c r="BG22" s="548">
        <f t="shared" si="11"/>
        <v>1</v>
      </c>
      <c r="BH22" s="341" t="s">
        <v>601</v>
      </c>
      <c r="BI22" s="641" t="str">
        <f t="shared" si="30"/>
        <v>1/C  -</v>
      </c>
      <c r="BJ22" s="618">
        <f>IF(Z22="AÉREO",LOOKUP(BU22,CONDUCTORES!$A$156:$A$161,CONDUCTORES!$D$156:$D$161),LOOKUP(BU22,CONDUCTORES!$A$9:$A$62,CONDUCTORES!$D$9:$D$62))</f>
        <v>12.24</v>
      </c>
      <c r="BK22" s="621">
        <f>LOOKUP(BU22,CONDUCTORES!$A$9:$A$62,CONDUCTORES!$R$9:$R$62)</f>
        <v>20</v>
      </c>
      <c r="BL22" s="619">
        <f>IF(AQ22="Cu",LOOKUP(BU22,CONDUCTORES!$A$9:$A$62,CONDUCTORES!$H$9:$H$62),IF(AQ22="Al",LOOKUP(BU22,CONDUCTORES!$A$9:$A$62,CONDUCTORES!$J$9:$J$62),"Err Material"))</f>
        <v>0.68847200000000008</v>
      </c>
      <c r="BM22" s="619">
        <f>LOOKUP(BU22,CONDUCTORES!$A$9:$A$62,CONDUCTORES!$I$9:$I$62)</f>
        <v>0.18044619422572178</v>
      </c>
      <c r="BN22" s="620">
        <f t="shared" si="31"/>
        <v>135</v>
      </c>
      <c r="BO22" s="625">
        <f t="shared" si="32"/>
        <v>1</v>
      </c>
      <c r="BP22" s="620" t="str">
        <f>IF(BR22&gt;Q22,Listas!C$2,Listas!C$3)</f>
        <v>Si</v>
      </c>
      <c r="BQ22" s="620" t="str">
        <f>IF(AF22&lt;$BQ$12*100,Listas!C$2,Listas!C$3)</f>
        <v>Si</v>
      </c>
      <c r="BR22" s="621">
        <f>AN22*((IF(Z22="BANDEJA",1,VLOOKUP(AA22,'% PORTADORES I'!$A$2:$B$42,2,FALSE)))*(Y22))*AD22*AB22</f>
        <v>135</v>
      </c>
      <c r="BS22" s="621">
        <f t="shared" si="33"/>
        <v>94.132321103074645</v>
      </c>
      <c r="BT22" s="642" t="str">
        <f t="shared" si="34"/>
        <v>1/0 AWG</v>
      </c>
      <c r="BU22" s="622">
        <f>IF(AO22="Monopolar",VLOOKUP(AM22,CONDUCTORES!$B$9:$X$23,23,FALSE),IF(AND(AM22="12 AWG",AO22="Multiconductor",AP22="2/C  -"),16,IF(AND(AM22="12 AWG",AO22="Multiconductor",AP22="3/C  -"),17,IF(AND(AM22="12 AWG",AO22="Multiconductor",AP22="4/C  -"),18,IF(AND(AM22="10 AWG",AO22="Multiconductor",AP22="2/C  -"),19,IF(AND(AM22="10 AWG",AO22="Multiconductor",AP22="3/C  -"),20,IF(AND(AM22="10 AWG",AO22="Multiconductor",AP22="4/C  -"),21,IF(AND(AM22="8 AWG",AO22="Multiconductor",AP22="2/C  -"),22,IF(AND(AM22="8 AWG",AO22="Multiconductor",AP22="3/C  -"),23,IF(AND(AM22="8 AWG",AO22="Multiconductor",AP22="4/C  -"),24,IF(AND(AM22="6 AWG",AO22="Multiconductor",AP22="2/C  -"),25,IF(AND(AM22="6 AWG",AO22="Multiconductor",AP22="3/C  -"),26,IF(AND(AM22="6 AWG",AO22="Multiconductor",AP22="4/C  -"),27,IF(AND(AM22="4 AWG",AO22="Multiconductor",AP22="2/C  -"),28,IF(AND(AM22="4 AWG",AO22="Multiconductor",AP22="3/C  -"),29,IF(AND(AM22="4 AWG",AO22="Multiconductor",AP22="4/C  -"),30,IF(AND(AM22="2 AWG",AO22="Multiconductor",AP22="2/C  -"),31,IF(AND(AM22="2 AWG",AO22="Multiconductor",AP22="3/C  -"),32,IF(AND(AM22="2 AWG",AO22="Multiconductor",AP22="4/C  -"),33,IF(AND(AM22="1/0 AWG",AO22="Multiconductor",AP22="2/C  -"),34,IF(AND(AM22="1/0 AWG",AO22="Multiconductor",AP22="3/C  -"),35,IF(AND(AM22="1/0 AWG",AO22="Multiconductor",AP22="4/C  -"),36,IF(AND(AM22="2/0 AWG",AO22="Multiconductor",AP22="2/C  -"),37,IF(AND(AM22="2/0 AWG",AO22="Multiconductor",AP22="3/C  -"),38,IF(AND(AM22="2/0 AWG",AO22="Multiconductor",AP22="4/C  -"),39,IF(AND(AM22="3/0 AWG",AO22="Multiconductor",AP22="2/C  -"),40,IF(AND(AM22="3/0 AWG",AO22="Multiconductor",AP22="3/C  -"),41,IF(AND(AM22="3/0 AWG",AO22="Multiconductor",AP22="4/C  -"),42,IF(AND(AM22="4/0 AWG",AO22="Multiconductor",AP22="2/C  -"),43,IF(AND(AM22="4/0 AWG",AO22="Multiconductor",AP22="3/C  -"),44,IF(AND(AM22="4/0 AWG",AO22="Multiconductor",AP22="4/C  -"),45,IF(AND(AM22="250 kcmil",AO22="Multiconductor",AP22="2/C  -"),46,IF(AND(AM22="250 kcmil",AO22="Multiconductor",AP22="3/C  -"),47,IF(AND(AM22="250 kcmil",AO22="Multiconductor",AP22="4/C  -"),48,IF(AND(AM22="350 kcmil",AO22="Multiconductor",AP22="2/C  -"),49,IF(AND(AM22="350 kcmil",AO22="Multiconductor",AP22="3/C  -"),50,IF(AND(AM22="350 kcmil",AO22="Multiconductor",AP22="4/C  -"),51,IF(AND(AM22="500 kcmil",AO22="Multiconductor",AP22="2/C  -"),52,IF(AND(AM22="500 kcmil",AO22="Multiconductor",AP22="3/C  -"),53,IF(AND(AM22="500 kcmil",AO22="Multiconductor",AP22="4/C  -"),54,FALSE))))))))))))))))))))))))))))))))))))))))</f>
        <v>7</v>
      </c>
      <c r="BV22" s="622">
        <f>IF(AO22="Monopolar",VLOOKUP(BF22,CONDUCTORES!$B$9:$X$23,23,FALSE),IF(AND(BF22="12 AWG",AO22="Multiconductor",AP22="2/C  -"),16,IF(AND(BF22="12 AWG",AO22="Multiconductor",AP22="3/C  -"),17,IF(AND(BF22="12 AWG",AO22="Multiconductor",AP22="4/C  -"),18,IF(AND(BF22="10 AWG",AO22="Multiconductor",AP22="2/C  -"),19,IF(AND(BF22="10 AWG",AO22="Multiconductor",AP22="3/C  -"),20,IF(AND(BF22="10 AWG",AO22="Multiconductor",AP22="4/C  -"),21,IF(AND(BF22="8 AWG",AO22="Multiconductor",AP22="2/C  -"),22,IF(AND(BF22="8 AWG",AO22="Multiconductor",AP22="3/C  -"),23,IF(AND(BF22="8 AWG",AO22="Multiconductor",AP22="4/C  -"),24,IF(AND(BF22="6 AWG",AO22="Multiconductor",AP22="2/C  -"),25,IF(AND(BF22="6 AWG",AO22="Multiconductor",AP22="3/C  -"),26,IF(AND(BF22="6 AWG",AO22="Multiconductor",AP22="4/C  -"),27,IF(AND(BF22="4 AWG",AO22="Multiconductor",AP22="2/C  -"),28,IF(AND(BF22="4 AWG",AO22="Multiconductor",AP22="3/C  -"),29,IF(AND(BF22="4 AWG",AO22="Multiconductor",AP22="4/C  -"),30,IF(AND(BF22="2 AWG",AO22="Multiconductor",AP22="2/C  -"),31,IF(AND(BF22="2 AWG",AO22="Multiconductor",AP22="3/C  -"),32,IF(AND(BF22="2 AWG",AO22="Multiconductor",AP22="4/C  -"),33,IF(AND(BF22="1/0 AWG",AO22="Multiconductor",AP22="2/C  -"),34,IF(AND(BF22="1/0 AWG",AO22="Multiconductor",AP22="3/C  -"),35,IF(AND(BF22="1/0 AWG",AO22="Multiconductor",AP22="4/C  -"),36,IF(AND(BF22="2/0 AWG",AO22="Multiconductor",AP22="2/C  -"),37,IF(AND(BF22="2/0 AWG",AO22="Multiconductor",AP22="3/C  -"),38,IF(AND(BF22="2/0 AWG",AO22="Multiconductor",AP22="4/C  -"),39,IF(AND(BF22="3/0 AWG",AO22="Multiconductor",AP22="2/C  -"),40,IF(AND(BF22="3/0 AWG",AO22="Multiconductor",AP22="3/C  -"),41,IF(AND(BF22="3/0 AWG",AO22="Multiconductor",AP22="4/C  -"),42,IF(AND(BF22="4/0 AWG",AO22="Multiconductor",AP22="2/C  -"),43,IF(AND(BF22="4/0 AWG",AO22="Multiconductor",AP22="3/C  -"),44,IF(AND(BF22="4/0 AWG",AO22="Multiconductor",AP22="4/C  -"),45,IF(AND(BF22="250 kcmil",AO22="Multiconductor",AP22="2/C  -"),46,IF(AND(BF22="250 kcmil",AO22="Multiconductor",AP22="3/C  -"),47,IF(AND(BF22="250 kcmil",AO22="Multiconductor",AP22="4/C  -"),48,IF(AND(BF22="350 kcmil",AO22="Multiconductor",AP22="2/C  -"),49,IF(AND(BF22="350 kcmil",AO22="Multiconductor",AP22="3/C  -"),50,IF(AND(BF22="350 kcmil",AO22="Multiconductor",AP22="4/C  -"),51,IF(AND(BF22="500 kcmil",AO22="Multiconductor",AP22="2/C  -"),52,IF(AND(BF22="500 kcmil",AO22="Multiconductor",AP22="3/C  -"),53,IF(AND(BF22="500 kcmil",AO22="Multiconductor",AP22="4/C  -"),54,FALSE))))))))))))))))))))))))))))))))))))))))</f>
        <v>7</v>
      </c>
      <c r="BW22" s="623">
        <f t="shared" si="35"/>
        <v>0.69727645261536775</v>
      </c>
      <c r="BX22" s="624">
        <f t="shared" si="36"/>
        <v>1</v>
      </c>
      <c r="BY22" s="625">
        <f t="shared" si="37"/>
        <v>0.6</v>
      </c>
      <c r="BZ22" s="625">
        <f t="shared" si="38"/>
        <v>1</v>
      </c>
      <c r="CA22" s="626">
        <f>IF(AS22&gt;4,"# FILAS Fuera de rango",IF(AT22&gt;15,"#COLUMNAS Fuera de rango",IF(BU22=0,"CALIBRE CABLE CERO",IF(OR(BU22=1,BU22=16,BU22=17,BU22=18),INDEX('0-5000'!$D$4:$R$7,AS22,AT22),IF(OR(BU22=2,BU22=19,BU22=20,BU22=21),INDEX('0-5000'!$D$8:$R$11,AS22,AT22),IF(OR(BU22=3,BU22=22,BU22=23,BU22=24),INDEX('0-5000'!$D$12:$R$15,AS22,AT22),IF(OR(BU22=4,BU22=25,BU22=26,BU22=27),INDEX('0-5000'!$D$16:$R$19,AS22,AT22),CB22)))))))</f>
        <v>1</v>
      </c>
      <c r="CB22" s="627">
        <f>IF(OR(BU22=1,BU22=16,BU22=17,BU22=18),INDEX('0-5000'!$D$4:$R$7,AS22,AT22),IF(OR(BU22=2,BU22=19,BU22=20,BU22=21),INDEX('0-5000'!$D$8:$R$11,AS22,AT22),IF(OR(BU22=3,BU22=22,BU22=23,BU22=24),INDEX('0-5000'!$D$12:$R$15,AS22,AT22),IF(OR(BU22=4,BU22=25,BU22=26,BU22=27),INDEX('0-5000'!$D$18:$R$19,AS22,AT22),IF(OR(BU22=5,BU22=28,BU22=29,BU22=30),INDEX('0-5000'!$D$20:$R$23,AS22,AT22),IF(OR(BU22=6,BU22=31,BU22=32,BU22=33),INDEX('0-5000'!$D$24:$R$27,AS22,AT22),IF(OR(BU22=7,BU22=34,BU22=35,BU22=36),INDEX('0-5000'!$D$32:$R$35,AS22,AT22),IF(OR(BU22=8,BU22=37,BU22=38,BU22=39),INDEX('0-5000'!$D$36:$R$39,AS22,AT22),IF(OR(BU22=9,BU22=40,BU22=41,BU22=42),INDEX('0-5000'!$D$40:$R$43,AS22,AT22),IF(OR(BU22=10,BU22=43,BU22=44,BU22=45),INDEX('0-5000'!$D$44:$R$47,AS22,AT22),IF(OR(BU22=11,BU22=46,BU22=47,BU22=48),INDEX('0-5000'!$D$48:$R$51,AS22,AT22),IF(OR(BU22=12,BU22=49,BU22=50,BU22=51),INDEX('0-5000'!$D$52:$R$55,AS22,AT22),IF(OR(BU22=13,BU22=52,BU22=53,BU22=54),INDEX('0-5000'!$D$56:$R$59,AS22,AT22),IF(OR(BU22=14,BU22=55,BU22=56,BU22=57),INDEX('0-5000'!$D$60:$R$63,AS22,AT22),IF(BU22=15,INDEX('0-5000'!$D$64:$R$67,AS22,AT22),"# CABLE Fuera de Rango")))))))))))))))</f>
        <v>1</v>
      </c>
      <c r="CC22" s="643">
        <f>VLOOKUP($AC22,Listas!$A$20:$B$29,2,FALSE)</f>
        <v>1</v>
      </c>
      <c r="CD22" s="616">
        <f t="shared" si="39"/>
        <v>2</v>
      </c>
    </row>
    <row r="23" spans="2:82" ht="41.4" customHeight="1" x14ac:dyDescent="0.25">
      <c r="B23" s="338">
        <f>+IF(OR(CD23=0,CD23=1),0,COUNTIF(CD$15:CD23,CD23))</f>
        <v>6</v>
      </c>
      <c r="C23" s="819" t="str">
        <f>+_xlfn.CONCAT($C$17,".",SUBTOTAL(103,$D$18:D23))</f>
        <v>2.1.6</v>
      </c>
      <c r="D23" s="820" t="str">
        <f>+Longitudes!C15</f>
        <v>PCP-DT-58</v>
      </c>
      <c r="E23" s="821" t="s">
        <v>1998</v>
      </c>
      <c r="F23" s="1040" t="str">
        <f>+Longitudes!B15</f>
        <v>VFD-DT-58</v>
      </c>
      <c r="G23" s="1311">
        <f>+Longitudes!L15</f>
        <v>54</v>
      </c>
      <c r="H23" s="828"/>
      <c r="I23" s="1312">
        <f>I22</f>
        <v>62.53</v>
      </c>
      <c r="J23" s="829" t="s">
        <v>595</v>
      </c>
      <c r="K23" s="827">
        <v>480</v>
      </c>
      <c r="L23" s="827">
        <v>3</v>
      </c>
      <c r="M23" s="830">
        <f>+'H1-CUADRO DE CARGAS'!$M$12</f>
        <v>0.79600000000000004</v>
      </c>
      <c r="N23" s="830">
        <f>+'H1-CUADRO DE CARGAS'!$O$12</f>
        <v>0.94099999999999995</v>
      </c>
      <c r="O23" s="1045">
        <f>(IF(L23=1,IF(J23="HP",(I23*746)/(K23*M23),IF(J23="kVA",I23*1000/K23,IF(J23="kW",I23*1000/(K23*M23),""))),IF(L23=3,IF(J23="HP",IF(OR(K23=4160,K23=34500),((I23*0.746)/M23)*1000/(SQRT(3)*K23*N23),IF(AND(K23&lt;=480,K23&gt;=440),VLOOKUP(I23,'I Plena Carga'!$C$3:$I$29,7),IF(AND(K23&lt;=240,K23&gt;=220),VLOOKUP(I23,'I Plena Carga'!$C$3:$G$29,5),IF(K23=208,VLOOKUP(I23,'I Plena Carga'!$C$3:$F$29,4),IF(AND(K23&lt;=127,K23&gt;=110),VLOOKUP(I23,'I Plena Carga'!$C$3:$D$29,2),""))))),IF(J23="kVA",I23*1000/(SQRT(3)*K23),IF(J23="kW",I23*1000/(SQRT(3)*K23*M23),""))),IF(L23=2,IF(J23="HP",(I23*746)/(K23*M23),IF(J23="kVA",I23*1000/(K23),IF(J23="kW",I23*1000/(K23*M23),""))),"Rev.#Fases"))))*(SQRT(1+((AX23/100)^2)))</f>
        <v>75.305856882459722</v>
      </c>
      <c r="P23" s="1046" t="str">
        <f t="shared" ref="P23" si="42">IF(OR(AW23="Motor",AW23="Motor Alimentado de VFD"),(IF($P$9="CORRIENTE DE ARRANQUE DIRECTO (MOTORES)",O23*8,IF($P$9="CORRIENTE DE ARRANCADOR SUAVE (MOTORES)",O23*3,IF($P$9="CORRIENTE DE ARRANQUE  Δ-Y (MOTORES)",O23*6,IF($P$9="CORRIENTE DE ARRANQUE CON VARIADOR (MOTORES)",O23*2,O23))))),"N/A")</f>
        <v>N/A</v>
      </c>
      <c r="Q23" s="1047">
        <f t="shared" ref="Q23" si="43">O23*1.25</f>
        <v>94.132321103074645</v>
      </c>
      <c r="R23" s="1047">
        <f t="shared" ref="R23" si="44">IF(OR(MID(D23,1,1)="J"),"N/A",S23)</f>
        <v>100</v>
      </c>
      <c r="S23" s="1047">
        <f>(IF((IF(OR(AW23="Trafo Primario",AW23="Trafo Primario - Secundario",AW23="Protección Tablero"),BS23,Q23))&lt;CONDUCTORES!$E$111,CONDUCTORES!$E$111,IF((IF(OR(AW23="Trafo Primario",AW23="Trafo Primario - Secundario",AW23="Protección Tablero"),BS23,Q23))&lt;CONDUCTORES!$E$112,CONDUCTORES!$E$112,IF((IF(OR(AW23="Trafo Primario",AW23="Trafo Primario - Secundario",AW23="Protección Tablero"),BS23,Q23))&lt;CONDUCTORES!$E$113,CONDUCTORES!$E$113,IF((IF(OR(AW23="Trafo Primario",AW23="Trafo Primario - Secundario",AW23="Protección Tablero"),BS23,Q23))&lt;CONDUCTORES!$E$114,CONDUCTORES!$E$114,IF((IF(OR(AW23="Trafo Primario",AW23="Trafo Primario - Secundario",AW23="Protección Tablero"),BS23,Q23))&lt;CONDUCTORES!$E$115,CONDUCTORES!$E$115,IF((IF(OR(AW23="Trafo Primario",AW23="Trafo Primario - Secundario",AW23="Protección Tablero"),BS23,Q23))&lt;CONDUCTORES!$E$116,CONDUCTORES!$E$116,IF((IF(OR(AW23="Trafo Primario",AW23="Trafo Primario - Secundario",AW23="Protección Tablero"),BS23,Q23))&lt;CONDUCTORES!$E$117,CONDUCTORES!$E$117,IF((IF(OR(AW23="Trafo Primario",AW23="Trafo Primario - Secundario",AW23="Protección Tablero"),BS23,Q23))&lt;CONDUCTORES!$E$118,CONDUCTORES!$E$118,IF((IF(OR(AW23="Trafo Primario",AW23="Trafo Primario - Secundario",AW23="Protección Tablero"),BS23,Q23))&lt;CONDUCTORES!$E$119,CONDUCTORES!$E$119,IF((IF(OR(AW23="Trafo Primario",AW23="Trafo Primario - Secundario",AW23="Protección Tablero"),BS23,Q23))&lt;CONDUCTORES!$E$120,CONDUCTORES!$E$120,IF((IF(OR(AW23="Trafo Primario",AW23="Trafo Primario - Secundario",AW23="Protección Tablero"),BS23,Q23))&lt;CONDUCTORES!$E$121,CONDUCTORES!$E$121,IF((IF(AND(AW23="Trafo Primario",AW23="Trafo Primario - Secundario",AW23="Protección Tablero"),BS23,Q23))&lt;CONDUCTORES!$E$122,CONDUCTORES!$E$122,IF((IF(OR(AW23="Trafo Primario",AW23="Trafo Primario - Secundario",AW23="Protección Tablero"),BS23,Q23))&lt;CONDUCTORES!$E$123,CONDUCTORES!$E$123,IF((IF(OR(AW23="Trafo Primario",AW23="Trafo Primario - Secundario",AW23="Protección Tablero"),BS23,Q23))&lt;CONDUCTORES!$E$124,CONDUCTORES!$E$124,IF((IF(OR(AW23="Trafo Primario",AW23="Trafo Primario - Secundario",AW23="Protección Tablero"),BS23,Q23))&lt;CONDUCTORES!$E$125,CONDUCTORES!$E$125,IF((IF(OR(AW23="Trafo Primario",AW23="Trafo Primario - Secundario",AW23="Protección Tablero"),BS23,Q23))&lt;CONDUCTORES!$E$126,CONDUCTORES!$E$126,IF((IF(OR(AW23="Trafo Primario",AW23="Trafo Primario - Secundario",AW23="Protección Tablero"),BS23,Q23))&lt;CONDUCTORES!$E$127,CONDUCTORES!$E$127,IF((IF(OR(AW23="Trafo Primario",AW23="Trafo Primario - Secundario",AW23="Protección Tablero"),BS23,Q23))&lt;CONDUCTORES!$E$128,CONDUCTORES!$E$128,IF((IF(OR(AW23="Trafo Primario",AW23="Trafo Primario - Secundario",AW23="Protección Tablero"),BS23,Q23))&lt;CONDUCTORES!$E$129,CONDUCTORES!$E$129,IF((IF(OR(AW23="Trafo Primario",AW23="Trafo Primario - Secundario",AW23="Protección Tablero"),BS23,Q23))&lt;CONDUCTORES!$E$130,CONDUCTORES!$E$130,IF((IF(OR(AW23="Trafo Primario",AW23="Trafo Primario - Secundario",AW23="Protección Tablero"),BS23,Q23))&lt;CONDUCTORES!$E$131,CONDUCTORES!$E$131,IF((IF(OR(AW23="Trafo Primario",AW23="Trafo Primario - Secundario",AW23="Protección Tablero"),BS23,Q23))&lt;CONDUCTORES!$E$132,CONDUCTORES!$E$132,IF((IF(OR(AW23="Trafo Primario",AW23="Trafo Primario - Secundario",AW23="Protección Tablero"),BS23,Q23))&lt;CONDUCTORES!$E$133,CONDUCTORES!$E$133,IF((IF(OR(AW23="Trafo Primario",AW23="Trafo Primario - Secundario",AW23="Protección Tablero"),BS23,Q23))&lt;CONDUCTORES!$E$134,CONDUCTORES!$E$134,IF((IF(OR(AW23="Trafo Primario",AW23="Trafo Primario - Secundario",AW23="Protección Tablero"),BS23,Q23))&lt;CONDUCTORES!$E$135,CONDUCTORES!$E$135,IF((IF(OR(AW23="Trafo Primario",AW23="Trafo Primario - Secundario",AW23="Protección Tablero"),BS23,Q23))&lt;CONDUCTORES!$E$136,CONDUCTORES!$E$136,IF((IF(OR(AW23="Trafo Primario",AW23="Trafo Primario - Secundario",AW23="Protección Tablero"),BS23,Q23))&lt;CONDUCTORES!$E$137,CONDUCTORES!$E$137,IF((IF(OR(AW23="Trafo Primario",AW23="Trafo Primario - Secundario",AW23="Protección Tablero"),BS23,Q23))&lt;CONDUCTORES!$E$138,CONDUCTORES!$E$138,IF((IF(OR(AW23="Trafo Primario",AW23="Trafo Primario - Secundario",AW23="Protección Tablero"),BS23,Q23))&lt;CONDUCTORES!$E$139,CONDUCTORES!$E$139,IF((IF(OR(AW23="Trafo Primario",AW23="Trafo Primario - Secundario",AW23="Protección Tablero"),BS23,Q23))&lt;CONDUCTORES!$E$140,CONDUCTORES!$E$140,IF((IF(OR(AW23="Trafo Primario",AW23="Trafo Primario - Secundario",AW23="Protección Tablero"),BS23,Q23))&lt;CONDUCTORES!$E$141,CONDUCTORES!$E$141,IF((IF(OR(AW23="Trafo Primario",AW23="Trafo Primario - Secundario",AW23="Protección Tablero"),BS23,Q23))&lt;CONDUCTORES!$E$142,CONDUCTORES!$E$142,IF((IF(OR(AW23="Trafo Primario",AW23="Trafo Primario - Secundario",AW23="Protección Tablero"),BS23,Q23))&lt;CONDUCTORES!$E$143,CONDUCTORES!$E$143,IF((IF(OR(AW23="Trafo Primario",AW23="Trafo Primario - Secundario",AW23="Protección Tablero"),BS23,Q23))&lt;CONDUCTORES!$E$144,CONDUCTORES!$E$144,IF((IF(OR(AW23="Trafo Primario",AW23="Trafo Primario - Secundario",AW23="Protección Tablero"),BS23,Q23))&lt;CONDUCTORES!$E$145,CONDUCTORES!$E$145,IF((IF(OR(AW23="Trafo Primario",AW23="Trafo Primario - Secundario",AW23="Protección Tablero"),BS23,Q23))&lt;CONDUCTORES!$E$146,CONDUCTORES!$E$146,IF((IF(OR(AW23="Trafo Primario",AW23="Trafo Primario - Secundario",AW23="Protección Tablero"),BS23,Q23))&lt;CONDUCTORES!$E$147,CONDUCTORES!$E$147,IF((IF(OR(AW23="Trafo Primario",AW23="Trafo Primario - Secundario",AW23="Protección Tablero"),BS23,Q23))&lt;CONDUCTORES!$E$148,CONDUCTORES!$E$148,IF((IF(OR(AW23="Trafo Primario",AW23="Trafo Primario - Secundario",AW23="Protección Tablero"),BS23,Q23))&lt;CONDUCTORES!$E$149,CONDUCTORES!$E$149,))))))))))))))))))))))))))))))))))))))))</f>
        <v>100</v>
      </c>
      <c r="T23" s="1048">
        <f>IF(AZ23&lt;10,CONCATENATE(ROUND(((IF(L23=1,K23,K23/SQRT(3)))/((((VLOOKUP(AM23,CONDUCTORES!$L$83:$N$97,IF(AQ23="Al",2,3),FALSE))/(AN23))*(G23/1000))+(((VLOOKUP(IF(BB23="No",(IF(AQ23="Al",LOOKUP(S23,CONDUCTORES!$A$111:$A$131,CONDUCTORES!$C$111:$C$131),LOOKUP(S23,CONDUCTORES!$A$111:$A$131,CONDUCTORES!$B$111:$B$131))),BB23),CONDUCTORES!$L$83:$N$97,IF(AQ23="Al",2,3),FALSE))/IF(BB23="No",1,BA23))*(G23/1000))))/1000,2)," &lt; 10*Inp"),((IF(L23=1,K23,K23/SQRT(3)))/((((VLOOKUP(AM23,CONDUCTORES!$L$83:$N$97,IF(AQ23="Al",2,3),FALSE))/(AN23))*(G23/1000))+(((VLOOKUP(IF(BB23="No",(IF(AQ23="Al",LOOKUP(S23,CONDUCTORES!$A$111:$A$131,CONDUCTORES!$C$111:$C$131),LOOKUP(S23,CONDUCTORES!$A$111:$A$131,CONDUCTORES!$B$111:$B$131))),BB23),CONDUCTORES!$L$83:$N$97,IF(AQ23="Al",2,3),FALSE))/IF(BB23="No",1,BA23))*(G23/1000))))/1000)</f>
        <v>2.1023000318280678</v>
      </c>
      <c r="U23" s="830">
        <v>0.02</v>
      </c>
      <c r="V23" s="1062" t="str">
        <f t="shared" ref="V23" si="45">IF(AZ23&lt;10,"AJUSTAR CONDUCTOR DE RETORNO DE TIERRA",IF(AQ23="Al",CONCATENATE("ALUMINIO, ",AR23,","," ",IF(K23=34500,"133%, 35 kV","600 V"),", 90°C, ",IF(AW23="Motor Alimentado de VFD","Cable de VFD",IF(AW23="Motor",AO23,IF(Z23="AÉREO","Cable Autosoportado Con Neutro En ACSR",AO23)))),CONCATENATE("COBRE, ",AR23,","," ",IF(K23=34500,"133%, 35 kV","600 V"),", 90°C, ",IF(AW23="Motor Alimentado de VFD","Cable de VFD",IF(AW23="Motor",AO23,AO23)))))</f>
        <v>ALUMINIO, XHHW-2, 600 V, 90°C, Monopolar</v>
      </c>
      <c r="W23" s="1055" t="str">
        <f>IF(Z23="AÉREO",CONCATENATE(AN23,"x[3x(1x",AM23,")] + ",AN23,"x(1Nx",(VLOOKUP(BU23,CONDUCTORES!$A$156:$Y$161,25,FALSE))," AWG)"),IF(AND(AO23="Multiconductor",AY23="SI"),(CONCATENATE(AN23,"x(",IF(AO23="Monopolar",L23,IF(AW23="Motor Alimentado de VFD",3,MID(AP23,1,1))),"x",AM23,IF(AW23="Motor Alimentado de VFD",,")")," + ",IF(BD23="No","",CONCATENATE(" ",AN23,"x(",BC23,"Nx",BD23,") + ")),IF(AW23="Motor Alimentado de VFD",,IF(ISERROR(VLOOKUP(D23,'H4-CANALIZACIONES'!$C$28:$AN$40,COLUMN('H4-CANALIZACIONES'!#REF!),FALSE))=TRUE,AN23,VLOOKUP(D23,'H4-CANALIZACIONES'!$C$28:$AN$40,COLUMN('H4-CANALIZACIONES'!#REF!),FALSE))),IF(AW23="Motor Alimentado de VFD",,"x("),IF(BB23="No",IF(AW23="Motor Alimentado de VFD",3,1),BA23),"Gx",(IF(AQ23="Al",IF(AW23="Motor Alimentado de VFD",VLOOKUP(AM23,CONDUCTORES!$H$84:$J$98,3,FALSE),IF(BB23="No",LOOKUP(S23,CONDUCTORES!$A$111:$A$131,CONDUCTORES!$C$111:$C$131),BB23)),IF(AW23="Motor Alimentado de VFD",VLOOKUP(AM23,CONDUCTORES!$H$84:$J$98,3,FALSE),IF(BB23="No",LOOKUP(S23,CONDUCTORES!$A$111:$A$131,CONDUCTORES!$B$111:$B$131),BB23)))),")")),(IF(AO23="Multiconductor",CONCATENATE(AN23,"x(",IF(AO23="Monopolar",L23,IF(AW23="Motor Alimentado de VFD",3,MID(AP23,1,1))),"x",AM23,IF(AW23="Motor Alimentado de VFD",CONCATENATE(" + 3Gx",VLOOKUP(AM23,CONDUCTORES!$H$84:$J$98,3,FALSE)),""),")"),(IF(AND(K23=480,AY23="No"),CONCATENATE(AN23,"x[",L23,"x(1x",AM23,")]",IF(BD23="No","",CONCATENATE(" ",AN23,"x(",BC23,"Nx",BD23,")"))),IF(AND(AO23="Monopolar",K23&lt;&gt;34500,Z23&lt;&gt;"BANDEJA"),CONCATENATE(AN23,"x[",L23,"x(1x",AM23,")] + ",IF(BD23="No","",CONCATENATE(" ",AN23,"x(",BC23,"Nx",BD23,") + ")),IF(ISERROR(VLOOKUP(D23,'H4-CANALIZACIONES'!$C$28:$AN$40,COLUMN('H4-CANALIZACIONES'!#REF!),FALSE))=TRUE,'H4-CANALIZACIONES'!AO32,VLOOKUP(D23,'H4-CANALIZACIONES'!$C$28:$AN$40,COLUMN('H4-CANALIZACIONES'!#REF!),FALSE)),"x(",IF(BB23="No",1,BA23),"Gx",(IF(AQ23="Al",IF(AW23="Motor Alimentado de VFD",VLOOKUP(AM23,CONDUCTORES!$H$84:$J$98,3,FALSE),IF(BB23="No",LOOKUP(S23,CONDUCTORES!$A$111:$A$131,CONDUCTORES!$C$111:$C$131),BB23)),IF(AW23="Motor Alimentado de VFD",VLOOKUP(AM23,CONDUCTORES!$H$84:$J$98,3,FALSE),IF(BB23="No",LOOKUP(S23,CONDUCTORES!$A$111:$A$131,CONDUCTORES!$B$111:$B$131),BB23)))),")"),IF(K23=34500,CONCATENATE(AN23,"x[",L23,"x(1x",AM23,")]"),IF(AND(AY23="SI"),CONCATENATE(AN23,"x[",IF(AO23="Monopolar",L23,MID(AP23,1,1)),"x(1x",AM23,")] + ",IF(BD23="No","",CONCATENATE(" ",AN23,"x(",BC23,"Nx",BD23,") + ")),1,"x(",IF(BB23="No",1,BA23),"Gx",(IF(AQ23="Al",IF(AW23="Motor Alimentado de VFD",VLOOKUP(AM23,CONDUCTORES!$H$84:$J$98,3,FALSE),IF(BB23="No",LOOKUP(S23,CONDUCTORES!$A$111:$A$131,CONDUCTORES!$C$111:$C$131),BB23)),IF(AW23="Motor Alimentado de VFD",VLOOKUP(AM23,CONDUCTORES!$H$84:$J$98,3,FALSE),IF(BB23="No",LOOKUP(S23,CONDUCTORES!$A$111:$A$131,CONDUCTORES!$B$111:$B$131),BB23)))),")"),CONCATENATE(AN23,"x(",IF(AO23="Monopolar",L23,MID(AP23,1,1)),"x",AM23,")"))))))))))</f>
        <v>1x[3x(1x1/0 AWG)] + 1x(1Gx4 AWG)</v>
      </c>
      <c r="X23" s="1062" t="str">
        <f>IF(AND(AN23&gt;=2,OR(AM23="12 AWG",AM23="10 AWG",AM23="8 AWG",AM23="6 AWG",AM23="4 AWG",AM23="2 AWG")),"NO SE PERMITEN "&amp;AN23&amp;" CONDUCTORES DE "&amp;AM23&amp;"",""&amp;IF(AN23=1,"",IF(AN23=2,"1/2-",IF(AN23=3,"1/2/3-",IF(AN23=4,"1/2/3/4-",IF(AN23=5,"1/2/3/4/5-",IF(AN23=6,"1/2/3/4/5/6-",IF(AN23=7,"1/2/3/4/5/6/7-",IF(AN23=8,"1/2/3/4/5/6/7/8-",IF(AN23=9,"1/2/3/4/5/6/7/8/9-","1/2/3/4/5/6/7/8/9/10-")))))))))&amp;""&amp;IF(MID(D23,1,1)="H","H",IF(MID(D23,1,3)="ILU","A","P"))&amp;"-"&amp;IF(OR(AND(AO23="Monopolar",AY23="SI"),AND(AO23="Multiconductor",AP23="4/C  -")),"06",IF(AND(AO23="Monopolar",AY23="No"),"05",IF(AND(AO23="Multiconductor",AP23="3/C  -",AY23="No"),IF(AW23="Motor Alimentado de VFD","06",IF(AND(AO23="Multiconductor",AP23="2/C  -",AY23="No"),"01",IF(AW23="Otra Carga","02","04"))))))&amp;"-"&amp;VLOOKUP(K23,'CODIFICACIÓN ECO'!$F$5:$G$21,2,FALSE)&amp;"-"&amp;D23&amp;"")</f>
        <v>P-06-08-PCP-DT-58</v>
      </c>
      <c r="Y23" s="1061">
        <f>IF(Z23="AÉREO",LOOKUP(BU23,CONDUCTORES!$A$156:$A$161,CONDUCTORES!$P$156:$P$161),IF(AND(Z23="BANDEJA",AQ23="Cu",OR(AV23=0,AV23=1)),LOOKUP(BU23,CONDUCTORES!$A$9:$A$62,CONDUCTORES!$M$9:$M$62),IF(AND(OR(Z23="BANCO DE DUCTOS",Z23="TUBO"),AQ23="Cu"),LOOKUP(BU23,CONDUCTORES!$A$9:$A$62,CONDUCTORES!$L$9:$L$62),IF(AND(Z23="BANDEJA",AQ23="Al",OR(AV23=0,AV23=1)),LOOKUP(BU23,CONDUCTORES!$A$9:$A$62,CONDUCTORES!$P$9:$P$62),IF(AND(OR(Z23="BANCO DE DUCTOS",Z23="TUBO"),AQ23="Al"),LOOKUP(BU23,CONDUCTORES!$A$9:$A$62,CONDUCTORES!$O$9:$O$62),IF(AND(Z23="BANDEJA",AQ23="Cu",AV23=2.15),LOOKUP(BU23,CONDUCTORES!$A$9:$A$62,CONDUCTORES!$N$9:$N$62),IF(AND(Z23="BANDEJA",AQ23="Al",AV23=2.15),LOOKUP(BU23,CONDUCTORES!$A$9:$A$62,CONDUCTORES!$Q$9:$Q$62),"")))))))</f>
        <v>135</v>
      </c>
      <c r="Z23" s="1062" t="s">
        <v>596</v>
      </c>
      <c r="AA23" s="1061">
        <f>IF(ISERROR(VLOOKUP(D23,'H4-CANALIZACIONES'!$C$2:$AN$36,3,FALSE))=TRUE,(IF(AO23="Multiconductor",IF(AW23="Motor Alimentado de VFD",3,IF(K23=120,1,(MID(AP23,1,1))-1)),L23)),IF(MOD(MID(W23,1,1),IF(VLOOKUP(D23,'H4-CANALIZACIONES'!$C$2:$AN$36,COLUMN('H4-CANALIZACIONES'!Y9),FALSE)="--",1,VLOOKUP(D23,'H4-CANALIZACIONES'!$C$26:$AN$36,COLUMN('H4-CANALIZACIONES'!Y9),FALSE)))=0,(MID(W23,1,1)/IF(VLOOKUP(D23,'H4-CANALIZACIONES'!$C$2:$AN$36,COLUMN('H4-CANALIZACIONES'!Y9),FALSE)="--",1,VLOOKUP(D23,'H4-CANALIZACIONES'!$C$26:$AN$36,COLUMN('H4-CANALIZACIONES'!Y9),FALSE)))*(IF(AO23="Multiconductor",IF(AW23="Motor Alimentado de VFD",3,IF(K23=120,1,(MID(AP23,1,1))-1)),L23)),"NO"))</f>
        <v>3</v>
      </c>
      <c r="AB23" s="1056">
        <f t="shared" ref="AB23" si="46">IF(Z23="BANCO DE DUCTOS",BZ23,IF(Z23="BANDEJA",BY23,IF(Z23="TUBO",BZ23,1)))</f>
        <v>1</v>
      </c>
      <c r="AC23" s="1063" t="s">
        <v>597</v>
      </c>
      <c r="AD23" s="1064">
        <f t="shared" ref="AD23" si="47">CC23</f>
        <v>1</v>
      </c>
      <c r="AE23" s="1059">
        <f t="shared" ref="AE23" si="48">IFERROR(BR23,"NO SE CALCULA")</f>
        <v>135</v>
      </c>
      <c r="AF23" s="1065">
        <f t="shared" ref="AF23" si="49">IF(OR(L23=2,L23=3),(SQRT(3)*O23*G23*((BL23*M23)+((SQRT(1-M23^2))*BM23))/(10*K23*AN23)),IF(L23=1,(2*O23*G23*(BL23*M23+SQRT(1-M23^2)*BM23)/(10*K23*AN23))))</f>
        <v>0.96442983782804126</v>
      </c>
      <c r="AG23" s="1065">
        <f t="shared" si="3"/>
        <v>3.2439065687963633</v>
      </c>
      <c r="AH23" s="1065">
        <f t="shared" ref="AH23" si="50">1/SQRT(1+POWER((AX23/100),2))</f>
        <v>0.99875233887784465</v>
      </c>
      <c r="AI23" s="831" t="str">
        <f t="shared" ref="AI23" si="51">+IF(R23&lt;=(Y23*AN23),"SI","NO")</f>
        <v>SI</v>
      </c>
      <c r="AJ23" s="832" t="str">
        <f t="shared" ref="AJ23" si="52">+IF(AL23="","FALTA DATO",IF(AK23&gt;=AL23,"SI","NO"))</f>
        <v>SI</v>
      </c>
      <c r="AK23" s="812">
        <f>SQRT((IF(AQ23="Cu",0.0297,0.0125))*LOG10((150+(IF(AQ23="Cu",234,228)))/(90+(IF(AQ23="Cu",234,228))))/U23)*LOOKUP(BU23,CONDUCTORES!$A$9:$A$62,CONDUCTORES!$W$9:$W$62)</f>
        <v>22.745745819268617</v>
      </c>
      <c r="AL23" s="758">
        <v>20</v>
      </c>
      <c r="AM23" s="548" t="s">
        <v>598</v>
      </c>
      <c r="AN23" s="548">
        <v>1</v>
      </c>
      <c r="AO23" s="548" t="s">
        <v>599</v>
      </c>
      <c r="AP23" s="548" t="s">
        <v>645</v>
      </c>
      <c r="AQ23" s="341" t="s">
        <v>601</v>
      </c>
      <c r="AR23" s="341" t="s">
        <v>97</v>
      </c>
      <c r="AS23" s="548">
        <v>1</v>
      </c>
      <c r="AT23" s="548">
        <v>1</v>
      </c>
      <c r="AU23" s="548" t="s">
        <v>613</v>
      </c>
      <c r="AV23" s="548">
        <v>1</v>
      </c>
      <c r="AW23" s="549" t="s">
        <v>657</v>
      </c>
      <c r="AX23" s="548">
        <v>5</v>
      </c>
      <c r="AY23" s="550" t="s">
        <v>175</v>
      </c>
      <c r="AZ23" s="547">
        <f>((( IF(L23=1,K23, (K23/SQRT(3))  )     /((((VLOOKUP(AM23,CONDUCTORES!$L$83:$N$97,IF(AQ23="Al",2,3),FALSE))/(AN23))*(G23/1000))+(((VLOOKUP(IF(BB23="No",IF(AO23="Multiconductor",AM23,(IF(AQ23="Al",LOOKUP(S23,CONDUCTORES!$A$111:$A$131,CONDUCTORES!$C$111:$C$131),LOOKUP(S23,CONDUCTORES!$A$111:$A$131,CONDUCTORES!$B$111:$B$131)))),BB23),CONDUCTORES!$L$83:$N$97,IF(AQ23="Al",2,3),FALSE))/IF(BB23="No",1,BA23))*(G23/1000))))/1000)/(S23))*1000</f>
        <v>21.02300031828068</v>
      </c>
      <c r="BA23" s="548">
        <v>1</v>
      </c>
      <c r="BB23" s="548" t="s">
        <v>810</v>
      </c>
      <c r="BC23" s="548">
        <v>1</v>
      </c>
      <c r="BD23" s="548" t="s">
        <v>605</v>
      </c>
      <c r="BE23" s="565">
        <f>BG23*((IF(Z23="BANDEJA",1,VLOOKUP(AA23,'% PORTADORES I'!$A$2:$B$42,2,FALSE)))*(IF(Z23="AÉREO",LOOKUP(BV23,CONDUCTORES!$A$156:$A$161,CONDUCTORES!$P$156:$P$161),IF(AND(Z23="BANDEJA",OR(AV23=0,AV23=1)),IF(BH23="Cu",LOOKUP(BV23,CONDUCTORES!$A$9:$A$62,CONDUCTORES!$M$9:$M$62),LOOKUP(BV23,CONDUCTORES!$A$9:$A$62,CONDUCTORES!$P$9:$P$62)),IF(OR(Z23="BANCO DE DUCTOS",Z23="TUBO"),IF(BH23="Cu",LOOKUP(BV23,CONDUCTORES!$A$9:$A$62,CONDUCTORES!$L$9:$L$62),LOOKUP(BV23,CONDUCTORES!$A$9:$A$62,CONDUCTORES!$O$9:$O$62)),IF(AND(Z23="BANDEJA",AV23=2.15),IF(BH23="Cu",LOOKUP(BV23,CONDUCTORES!$A$9:$A$62,CONDUCTORES!$N$9:$N$62),LOOKUP(BV23,CONDUCTORES!$A$9:$A$62,CONDUCTORES!$Q$9:$Q$62))))))))*AD23*AB23</f>
        <v>135</v>
      </c>
      <c r="BF23" s="548" t="str">
        <f t="shared" si="14"/>
        <v>1/0 AWG</v>
      </c>
      <c r="BG23" s="548">
        <f t="shared" ref="BG23" si="53">+AN23</f>
        <v>1</v>
      </c>
      <c r="BH23" s="341" t="s">
        <v>601</v>
      </c>
      <c r="BI23" s="641" t="str">
        <f t="shared" ref="BI23" si="54">IF(AO23="Monopolar","1/C  -",AP23)</f>
        <v>1/C  -</v>
      </c>
      <c r="BJ23" s="618">
        <f>IF(Z23="AÉREO",LOOKUP(BU23,CONDUCTORES!$A$156:$A$161,CONDUCTORES!$D$156:$D$161),LOOKUP(BU23,CONDUCTORES!$A$9:$A$62,CONDUCTORES!$D$9:$D$62))</f>
        <v>12.24</v>
      </c>
      <c r="BK23" s="621">
        <f>LOOKUP(BU23,CONDUCTORES!$A$9:$A$62,CONDUCTORES!$R$9:$R$62)</f>
        <v>20</v>
      </c>
      <c r="BL23" s="619">
        <f>IF(AQ23="Cu",LOOKUP(BU23,CONDUCTORES!$A$9:$A$62,CONDUCTORES!$H$9:$H$62),IF(AQ23="Al",LOOKUP(BU23,CONDUCTORES!$A$9:$A$62,CONDUCTORES!$J$9:$J$62),"Err Material"))</f>
        <v>0.68847200000000008</v>
      </c>
      <c r="BM23" s="619">
        <f>LOOKUP(BU23,CONDUCTORES!$A$9:$A$62,CONDUCTORES!$I$9:$I$62)</f>
        <v>0.18044619422572178</v>
      </c>
      <c r="BN23" s="620">
        <f t="shared" ref="BN23" si="55">AN23*Y23</f>
        <v>135</v>
      </c>
      <c r="BO23" s="625">
        <f t="shared" ref="BO23" si="56">CB23</f>
        <v>1</v>
      </c>
      <c r="BP23" s="620" t="str">
        <f>IF(BR23&gt;Q23,Listas!C$2,Listas!C$3)</f>
        <v>Si</v>
      </c>
      <c r="BQ23" s="620" t="str">
        <f>IF(AF23&lt;$BQ$12*100,Listas!C$2,Listas!C$3)</f>
        <v>Si</v>
      </c>
      <c r="BR23" s="621">
        <f>AN23*((IF(Z23="BANDEJA",1,VLOOKUP(AA23,'% PORTADORES I'!$A$2:$B$42,2,FALSE)))*(Y23))*AD23*AB23</f>
        <v>135</v>
      </c>
      <c r="BS23" s="621">
        <f t="shared" ref="BS23" si="57">IF(AW23="Generador",O23*1.15,IF(AW23="Trafo Primario",IF(O23&lt;2,O23*3,IF(AND(O23&gt;2,O23&lt;9),O23*1.67,O23*1.25)),IF(AW23="Trafo Primario - Secundario",O23*2.5,IF(AW23="Protección Tablero",IF(O23&lt;9,O23*1.67,O23*1.25),O23*1.25))))</f>
        <v>94.132321103074645</v>
      </c>
      <c r="BT23" s="642" t="str">
        <f t="shared" ref="BT23" si="58">+AM23</f>
        <v>1/0 AWG</v>
      </c>
      <c r="BU23" s="622">
        <f>IF(AO23="Monopolar",VLOOKUP(AM23,CONDUCTORES!$B$9:$X$23,23,FALSE),IF(AND(AM23="12 AWG",AO23="Multiconductor",AP23="2/C  -"),16,IF(AND(AM23="12 AWG",AO23="Multiconductor",AP23="3/C  -"),17,IF(AND(AM23="12 AWG",AO23="Multiconductor",AP23="4/C  -"),18,IF(AND(AM23="10 AWG",AO23="Multiconductor",AP23="2/C  -"),19,IF(AND(AM23="10 AWG",AO23="Multiconductor",AP23="3/C  -"),20,IF(AND(AM23="10 AWG",AO23="Multiconductor",AP23="4/C  -"),21,IF(AND(AM23="8 AWG",AO23="Multiconductor",AP23="2/C  -"),22,IF(AND(AM23="8 AWG",AO23="Multiconductor",AP23="3/C  -"),23,IF(AND(AM23="8 AWG",AO23="Multiconductor",AP23="4/C  -"),24,IF(AND(AM23="6 AWG",AO23="Multiconductor",AP23="2/C  -"),25,IF(AND(AM23="6 AWG",AO23="Multiconductor",AP23="3/C  -"),26,IF(AND(AM23="6 AWG",AO23="Multiconductor",AP23="4/C  -"),27,IF(AND(AM23="4 AWG",AO23="Multiconductor",AP23="2/C  -"),28,IF(AND(AM23="4 AWG",AO23="Multiconductor",AP23="3/C  -"),29,IF(AND(AM23="4 AWG",AO23="Multiconductor",AP23="4/C  -"),30,IF(AND(AM23="2 AWG",AO23="Multiconductor",AP23="2/C  -"),31,IF(AND(AM23="2 AWG",AO23="Multiconductor",AP23="3/C  -"),32,IF(AND(AM23="2 AWG",AO23="Multiconductor",AP23="4/C  -"),33,IF(AND(AM23="1/0 AWG",AO23="Multiconductor",AP23="2/C  -"),34,IF(AND(AM23="1/0 AWG",AO23="Multiconductor",AP23="3/C  -"),35,IF(AND(AM23="1/0 AWG",AO23="Multiconductor",AP23="4/C  -"),36,IF(AND(AM23="2/0 AWG",AO23="Multiconductor",AP23="2/C  -"),37,IF(AND(AM23="2/0 AWG",AO23="Multiconductor",AP23="3/C  -"),38,IF(AND(AM23="2/0 AWG",AO23="Multiconductor",AP23="4/C  -"),39,IF(AND(AM23="3/0 AWG",AO23="Multiconductor",AP23="2/C  -"),40,IF(AND(AM23="3/0 AWG",AO23="Multiconductor",AP23="3/C  -"),41,IF(AND(AM23="3/0 AWG",AO23="Multiconductor",AP23="4/C  -"),42,IF(AND(AM23="4/0 AWG",AO23="Multiconductor",AP23="2/C  -"),43,IF(AND(AM23="4/0 AWG",AO23="Multiconductor",AP23="3/C  -"),44,IF(AND(AM23="4/0 AWG",AO23="Multiconductor",AP23="4/C  -"),45,IF(AND(AM23="250 kcmil",AO23="Multiconductor",AP23="2/C  -"),46,IF(AND(AM23="250 kcmil",AO23="Multiconductor",AP23="3/C  -"),47,IF(AND(AM23="250 kcmil",AO23="Multiconductor",AP23="4/C  -"),48,IF(AND(AM23="350 kcmil",AO23="Multiconductor",AP23="2/C  -"),49,IF(AND(AM23="350 kcmil",AO23="Multiconductor",AP23="3/C  -"),50,IF(AND(AM23="350 kcmil",AO23="Multiconductor",AP23="4/C  -"),51,IF(AND(AM23="500 kcmil",AO23="Multiconductor",AP23="2/C  -"),52,IF(AND(AM23="500 kcmil",AO23="Multiconductor",AP23="3/C  -"),53,IF(AND(AM23="500 kcmil",AO23="Multiconductor",AP23="4/C  -"),54,FALSE))))))))))))))))))))))))))))))))))))))))</f>
        <v>7</v>
      </c>
      <c r="BV23" s="622">
        <f>IF(AO23="Monopolar",VLOOKUP(BF23,CONDUCTORES!$B$9:$X$23,23,FALSE),IF(AND(BF23="12 AWG",AO23="Multiconductor",AP23="2/C  -"),16,IF(AND(BF23="12 AWG",AO23="Multiconductor",AP23="3/C  -"),17,IF(AND(BF23="12 AWG",AO23="Multiconductor",AP23="4/C  -"),18,IF(AND(BF23="10 AWG",AO23="Multiconductor",AP23="2/C  -"),19,IF(AND(BF23="10 AWG",AO23="Multiconductor",AP23="3/C  -"),20,IF(AND(BF23="10 AWG",AO23="Multiconductor",AP23="4/C  -"),21,IF(AND(BF23="8 AWG",AO23="Multiconductor",AP23="2/C  -"),22,IF(AND(BF23="8 AWG",AO23="Multiconductor",AP23="3/C  -"),23,IF(AND(BF23="8 AWG",AO23="Multiconductor",AP23="4/C  -"),24,IF(AND(BF23="6 AWG",AO23="Multiconductor",AP23="2/C  -"),25,IF(AND(BF23="6 AWG",AO23="Multiconductor",AP23="3/C  -"),26,IF(AND(BF23="6 AWG",AO23="Multiconductor",AP23="4/C  -"),27,IF(AND(BF23="4 AWG",AO23="Multiconductor",AP23="2/C  -"),28,IF(AND(BF23="4 AWG",AO23="Multiconductor",AP23="3/C  -"),29,IF(AND(BF23="4 AWG",AO23="Multiconductor",AP23="4/C  -"),30,IF(AND(BF23="2 AWG",AO23="Multiconductor",AP23="2/C  -"),31,IF(AND(BF23="2 AWG",AO23="Multiconductor",AP23="3/C  -"),32,IF(AND(BF23="2 AWG",AO23="Multiconductor",AP23="4/C  -"),33,IF(AND(BF23="1/0 AWG",AO23="Multiconductor",AP23="2/C  -"),34,IF(AND(BF23="1/0 AWG",AO23="Multiconductor",AP23="3/C  -"),35,IF(AND(BF23="1/0 AWG",AO23="Multiconductor",AP23="4/C  -"),36,IF(AND(BF23="2/0 AWG",AO23="Multiconductor",AP23="2/C  -"),37,IF(AND(BF23="2/0 AWG",AO23="Multiconductor",AP23="3/C  -"),38,IF(AND(BF23="2/0 AWG",AO23="Multiconductor",AP23="4/C  -"),39,IF(AND(BF23="3/0 AWG",AO23="Multiconductor",AP23="2/C  -"),40,IF(AND(BF23="3/0 AWG",AO23="Multiconductor",AP23="3/C  -"),41,IF(AND(BF23="3/0 AWG",AO23="Multiconductor",AP23="4/C  -"),42,IF(AND(BF23="4/0 AWG",AO23="Multiconductor",AP23="2/C  -"),43,IF(AND(BF23="4/0 AWG",AO23="Multiconductor",AP23="3/C  -"),44,IF(AND(BF23="4/0 AWG",AO23="Multiconductor",AP23="4/C  -"),45,IF(AND(BF23="250 kcmil",AO23="Multiconductor",AP23="2/C  -"),46,IF(AND(BF23="250 kcmil",AO23="Multiconductor",AP23="3/C  -"),47,IF(AND(BF23="250 kcmil",AO23="Multiconductor",AP23="4/C  -"),48,IF(AND(BF23="350 kcmil",AO23="Multiconductor",AP23="2/C  -"),49,IF(AND(BF23="350 kcmil",AO23="Multiconductor",AP23="3/C  -"),50,IF(AND(BF23="350 kcmil",AO23="Multiconductor",AP23="4/C  -"),51,IF(AND(BF23="500 kcmil",AO23="Multiconductor",AP23="2/C  -"),52,IF(AND(BF23="500 kcmil",AO23="Multiconductor",AP23="3/C  -"),53,IF(AND(BF23="500 kcmil",AO23="Multiconductor",AP23="4/C  -"),54,FALSE))))))))))))))))))))))))))))))))))))))))</f>
        <v>7</v>
      </c>
      <c r="BW23" s="623">
        <f t="shared" ref="BW23" si="59">BS23/BR23</f>
        <v>0.69727645261536775</v>
      </c>
      <c r="BX23" s="624">
        <f t="shared" ref="BX23" si="60">CA23</f>
        <v>1</v>
      </c>
      <c r="BY23" s="625">
        <f t="shared" ref="BY23" si="61">IF(AND(AU23="CON TAPA",OR(AM23="12 AWG",AM23="10 AWG",AM23="8 AWG",AM23="6 AWG",AM23="4 AWG",AM23="2 AWG",AM23="1 AWG",AM23="1/0 AWG",AM23="2/0 AWG",AM23="3/0 AWG",AM23="4/0 AWG",AM23="250 kcmil",AM23="350 kcmil",AM23="500 kcmil")),0.6,IF(AND(AU23="CON TAPA",OR(AM23="750 kcmil",AM23="1000 kcmil")),0.7,IF(AND(AU23="SIN TAPA",OR(AM23="12 AWG",AM23="10 AWG",AM23="8 AWG",AM23="6 AWG",AM23="4 AWG",AM23="2 AWG",AM23="1 AWG",AM23="1/0 AWG",AM23="2/0 AWG",AM23="3/0 AWG",AM23="4/0 AWG",AM23="250 kcmil",AM23="350 kcmil",AM23="500 kcmil"),AV23=0),0.65,IF(AND(AU23="SIN TAPA",OR(AM23="750 kcmil",AM23="1000 kcmil"),AV23=0),0.75,IF(AND(AU23="SIN TAPA",OR(AV23=1,AV23=2.15)),1,"otro")))))</f>
        <v>0.6</v>
      </c>
      <c r="BZ23" s="625">
        <f t="shared" ref="BZ23" si="62">IF(AND(AA23&lt;4,AA23&gt;=1),1,IF(AND(AA23&lt;=6,AA23&gt;=4),0.8,IF(AND(AA23&lt;=9,AA23&gt;=7),0.7,IF(AND(AA23&lt;=20,AA23&gt;=10),0.5,IF(AND(AA23&lt;=30,AA23&gt;=21),0.45,IF(AND(AA23&lt;=40,AA23&gt;=31),0.4,IF(AA23&gt;=41,0.35,"")))))))</f>
        <v>1</v>
      </c>
      <c r="CA23" s="626">
        <f>IF(AS23&gt;4,"# FILAS Fuera de rango",IF(AT23&gt;15,"#COLUMNAS Fuera de rango",IF(BU23=0,"CALIBRE CABLE CERO",IF(OR(BU23=1,BU23=16,BU23=17,BU23=18),INDEX('0-5000'!$D$4:$R$7,AS23,AT23),IF(OR(BU23=2,BU23=19,BU23=20,BU23=21),INDEX('0-5000'!$D$8:$R$11,AS23,AT23),IF(OR(BU23=3,BU23=22,BU23=23,BU23=24),INDEX('0-5000'!$D$12:$R$15,AS23,AT23),IF(OR(BU23=4,BU23=25,BU23=26,BU23=27),INDEX('0-5000'!$D$16:$R$19,AS23,AT23),CB23)))))))</f>
        <v>1</v>
      </c>
      <c r="CB23" s="627">
        <f>IF(OR(BU23=1,BU23=16,BU23=17,BU23=18),INDEX('0-5000'!$D$4:$R$7,AS23,AT23),IF(OR(BU23=2,BU23=19,BU23=20,BU23=21),INDEX('0-5000'!$D$8:$R$11,AS23,AT23),IF(OR(BU23=3,BU23=22,BU23=23,BU23=24),INDEX('0-5000'!$D$12:$R$15,AS23,AT23),IF(OR(BU23=4,BU23=25,BU23=26,BU23=27),INDEX('0-5000'!$D$18:$R$19,AS23,AT23),IF(OR(BU23=5,BU23=28,BU23=29,BU23=30),INDEX('0-5000'!$D$20:$R$23,AS23,AT23),IF(OR(BU23=6,BU23=31,BU23=32,BU23=33),INDEX('0-5000'!$D$24:$R$27,AS23,AT23),IF(OR(BU23=7,BU23=34,BU23=35,BU23=36),INDEX('0-5000'!$D$32:$R$35,AS23,AT23),IF(OR(BU23=8,BU23=37,BU23=38,BU23=39),INDEX('0-5000'!$D$36:$R$39,AS23,AT23),IF(OR(BU23=9,BU23=40,BU23=41,BU23=42),INDEX('0-5000'!$D$40:$R$43,AS23,AT23),IF(OR(BU23=10,BU23=43,BU23=44,BU23=45),INDEX('0-5000'!$D$44:$R$47,AS23,AT23),IF(OR(BU23=11,BU23=46,BU23=47,BU23=48),INDEX('0-5000'!$D$48:$R$51,AS23,AT23),IF(OR(BU23=12,BU23=49,BU23=50,BU23=51),INDEX('0-5000'!$D$52:$R$55,AS23,AT23),IF(OR(BU23=13,BU23=52,BU23=53,BU23=54),INDEX('0-5000'!$D$56:$R$59,AS23,AT23),IF(OR(BU23=14,BU23=55,BU23=56,BU23=57),INDEX('0-5000'!$D$60:$R$63,AS23,AT23),IF(BU23=15,INDEX('0-5000'!$D$64:$R$67,AS23,AT23),"# CABLE Fuera de Rango")))))))))))))))</f>
        <v>1</v>
      </c>
      <c r="CC23" s="643">
        <f>VLOOKUP($AC23,Listas!$A$20:$B$29,2,FALSE)</f>
        <v>1</v>
      </c>
      <c r="CD23" s="616">
        <f t="shared" ref="CD23" si="63">LEN(C23)-LEN(SUBSTITUTE(C23,IF(ISNUMBER(FIND(".",C23)),".",","),""))</f>
        <v>2</v>
      </c>
    </row>
    <row r="24" spans="2:82" ht="37.200000000000003" customHeight="1" x14ac:dyDescent="0.25">
      <c r="B24" s="338">
        <f>+IF(OR(CD24=0,CD24=1),0,COUNTIF(CD$15:CD24,CD24))</f>
        <v>7</v>
      </c>
      <c r="C24" s="819" t="str">
        <f>+_xlfn.CONCAT($C$17,".",SUBTOTAL(103,$D$18:D24))</f>
        <v>2.1.7</v>
      </c>
      <c r="D24" s="820" t="str">
        <f>+Longitudes!C16</f>
        <v>MR-DT-58</v>
      </c>
      <c r="E24" s="821" t="s">
        <v>1999</v>
      </c>
      <c r="F24" s="1040" t="str">
        <f>+Longitudes!B16</f>
        <v>VFD-DT-58</v>
      </c>
      <c r="G24" s="1311">
        <f>+Longitudes!L16</f>
        <v>54</v>
      </c>
      <c r="H24" s="828"/>
      <c r="I24" s="1312">
        <v>1</v>
      </c>
      <c r="J24" s="829" t="s">
        <v>595</v>
      </c>
      <c r="K24" s="827">
        <v>480</v>
      </c>
      <c r="L24" s="827">
        <v>3</v>
      </c>
      <c r="M24" s="830">
        <f>+'H1-CUADRO DE CARGAS'!$M$12</f>
        <v>0.79600000000000004</v>
      </c>
      <c r="N24" s="830">
        <f>+'H1-CUADRO DE CARGAS'!$O$12</f>
        <v>0.94099999999999995</v>
      </c>
      <c r="O24" s="1045">
        <f>(IF(L24=1,IF(J24="HP",(I24*746)/(K24*M24),IF(J24="kVA",I24*1000/K24,IF(J24="kW",I24*1000/(K24*M24),""))),IF(L24=3,IF(J24="HP",IF(OR(K24=4160,K24=34500),((I24*0.746)/M24)*1000/(SQRT(3)*K24*N24),IF(AND(K24&lt;=480,K24&gt;=440),VLOOKUP(I24,'I Plena Carga'!$C$3:$I$29,7),IF(AND(K24&lt;=240,K24&gt;=220),VLOOKUP(I24,'I Plena Carga'!$C$3:$G$29,5),IF(K24=208,VLOOKUP(I24,'I Plena Carga'!$C$3:$F$29,4),IF(AND(K24&lt;=127,K24&gt;=110),VLOOKUP(I24,'I Plena Carga'!$C$3:$D$29,2),""))))),IF(J24="kVA",I24*1000/(SQRT(3)*K24),IF(J24="kW",I24*1000/(SQRT(3)*K24*M24),""))),IF(L24=2,IF(J24="HP",(I24*746)/(K24*M24),IF(J24="kVA",I24*1000/(K24),IF(J24="kW",I24*1000/(K24*M24),""))),"Rev.#Fases"))))*(SQRT(1+((AX24/100)^2)))</f>
        <v>1.2043156386128213</v>
      </c>
      <c r="P24" s="1046" t="str">
        <f t="shared" si="21"/>
        <v>N/A</v>
      </c>
      <c r="Q24" s="1047">
        <f t="shared" si="22"/>
        <v>1.5053945482660267</v>
      </c>
      <c r="R24" s="1047">
        <f t="shared" si="40"/>
        <v>15</v>
      </c>
      <c r="S24" s="1047">
        <f>(IF((IF(OR(AW24="Trafo Primario",AW24="Trafo Primario - Secundario",AW24="Protección Tablero"),BS24,Q24))&lt;CONDUCTORES!$E$111,CONDUCTORES!$E$111,IF((IF(OR(AW24="Trafo Primario",AW24="Trafo Primario - Secundario",AW24="Protección Tablero"),BS24,Q24))&lt;CONDUCTORES!$E$112,CONDUCTORES!$E$112,IF((IF(OR(AW24="Trafo Primario",AW24="Trafo Primario - Secundario",AW24="Protección Tablero"),BS24,Q24))&lt;CONDUCTORES!$E$113,CONDUCTORES!$E$113,IF((IF(OR(AW24="Trafo Primario",AW24="Trafo Primario - Secundario",AW24="Protección Tablero"),BS24,Q24))&lt;CONDUCTORES!$E$114,CONDUCTORES!$E$114,IF((IF(OR(AW24="Trafo Primario",AW24="Trafo Primario - Secundario",AW24="Protección Tablero"),BS24,Q24))&lt;CONDUCTORES!$E$115,CONDUCTORES!$E$115,IF((IF(OR(AW24="Trafo Primario",AW24="Trafo Primario - Secundario",AW24="Protección Tablero"),BS24,Q24))&lt;CONDUCTORES!$E$116,CONDUCTORES!$E$116,IF((IF(OR(AW24="Trafo Primario",AW24="Trafo Primario - Secundario",AW24="Protección Tablero"),BS24,Q24))&lt;CONDUCTORES!$E$117,CONDUCTORES!$E$117,IF((IF(OR(AW24="Trafo Primario",AW24="Trafo Primario - Secundario",AW24="Protección Tablero"),BS24,Q24))&lt;CONDUCTORES!$E$118,CONDUCTORES!$E$118,IF((IF(OR(AW24="Trafo Primario",AW24="Trafo Primario - Secundario",AW24="Protección Tablero"),BS24,Q24))&lt;CONDUCTORES!$E$119,CONDUCTORES!$E$119,IF((IF(OR(AW24="Trafo Primario",AW24="Trafo Primario - Secundario",AW24="Protección Tablero"),BS24,Q24))&lt;CONDUCTORES!$E$120,CONDUCTORES!$E$120,IF((IF(OR(AW24="Trafo Primario",AW24="Trafo Primario - Secundario",AW24="Protección Tablero"),BS24,Q24))&lt;CONDUCTORES!$E$121,CONDUCTORES!$E$121,IF((IF(AND(AW24="Trafo Primario",AW24="Trafo Primario - Secundario",AW24="Protección Tablero"),BS24,Q24))&lt;CONDUCTORES!$E$122,CONDUCTORES!$E$122,IF((IF(OR(AW24="Trafo Primario",AW24="Trafo Primario - Secundario",AW24="Protección Tablero"),BS24,Q24))&lt;CONDUCTORES!$E$123,CONDUCTORES!$E$123,IF((IF(OR(AW24="Trafo Primario",AW24="Trafo Primario - Secundario",AW24="Protección Tablero"),BS24,Q24))&lt;CONDUCTORES!$E$124,CONDUCTORES!$E$124,IF((IF(OR(AW24="Trafo Primario",AW24="Trafo Primario - Secundario",AW24="Protección Tablero"),BS24,Q24))&lt;CONDUCTORES!$E$125,CONDUCTORES!$E$125,IF((IF(OR(AW24="Trafo Primario",AW24="Trafo Primario - Secundario",AW24="Protección Tablero"),BS24,Q24))&lt;CONDUCTORES!$E$126,CONDUCTORES!$E$126,IF((IF(OR(AW24="Trafo Primario",AW24="Trafo Primario - Secundario",AW24="Protección Tablero"),BS24,Q24))&lt;CONDUCTORES!$E$127,CONDUCTORES!$E$127,IF((IF(OR(AW24="Trafo Primario",AW24="Trafo Primario - Secundario",AW24="Protección Tablero"),BS24,Q24))&lt;CONDUCTORES!$E$128,CONDUCTORES!$E$128,IF((IF(OR(AW24="Trafo Primario",AW24="Trafo Primario - Secundario",AW24="Protección Tablero"),BS24,Q24))&lt;CONDUCTORES!$E$129,CONDUCTORES!$E$129,IF((IF(OR(AW24="Trafo Primario",AW24="Trafo Primario - Secundario",AW24="Protección Tablero"),BS24,Q24))&lt;CONDUCTORES!$E$130,CONDUCTORES!$E$130,IF((IF(OR(AW24="Trafo Primario",AW24="Trafo Primario - Secundario",AW24="Protección Tablero"),BS24,Q24))&lt;CONDUCTORES!$E$131,CONDUCTORES!$E$131,IF((IF(OR(AW24="Trafo Primario",AW24="Trafo Primario - Secundario",AW24="Protección Tablero"),BS24,Q24))&lt;CONDUCTORES!$E$132,CONDUCTORES!$E$132,IF((IF(OR(AW24="Trafo Primario",AW24="Trafo Primario - Secundario",AW24="Protección Tablero"),BS24,Q24))&lt;CONDUCTORES!$E$133,CONDUCTORES!$E$133,IF((IF(OR(AW24="Trafo Primario",AW24="Trafo Primario - Secundario",AW24="Protección Tablero"),BS24,Q24))&lt;CONDUCTORES!$E$134,CONDUCTORES!$E$134,IF((IF(OR(AW24="Trafo Primario",AW24="Trafo Primario - Secundario",AW24="Protección Tablero"),BS24,Q24))&lt;CONDUCTORES!$E$135,CONDUCTORES!$E$135,IF((IF(OR(AW24="Trafo Primario",AW24="Trafo Primario - Secundario",AW24="Protección Tablero"),BS24,Q24))&lt;CONDUCTORES!$E$136,CONDUCTORES!$E$136,IF((IF(OR(AW24="Trafo Primario",AW24="Trafo Primario - Secundario",AW24="Protección Tablero"),BS24,Q24))&lt;CONDUCTORES!$E$137,CONDUCTORES!$E$137,IF((IF(OR(AW24="Trafo Primario",AW24="Trafo Primario - Secundario",AW24="Protección Tablero"),BS24,Q24))&lt;CONDUCTORES!$E$138,CONDUCTORES!$E$138,IF((IF(OR(AW24="Trafo Primario",AW24="Trafo Primario - Secundario",AW24="Protección Tablero"),BS24,Q24))&lt;CONDUCTORES!$E$139,CONDUCTORES!$E$139,IF((IF(OR(AW24="Trafo Primario",AW24="Trafo Primario - Secundario",AW24="Protección Tablero"),BS24,Q24))&lt;CONDUCTORES!$E$140,CONDUCTORES!$E$140,IF((IF(OR(AW24="Trafo Primario",AW24="Trafo Primario - Secundario",AW24="Protección Tablero"),BS24,Q24))&lt;CONDUCTORES!$E$141,CONDUCTORES!$E$141,IF((IF(OR(AW24="Trafo Primario",AW24="Trafo Primario - Secundario",AW24="Protección Tablero"),BS24,Q24))&lt;CONDUCTORES!$E$142,CONDUCTORES!$E$142,IF((IF(OR(AW24="Trafo Primario",AW24="Trafo Primario - Secundario",AW24="Protección Tablero"),BS24,Q24))&lt;CONDUCTORES!$E$143,CONDUCTORES!$E$143,IF((IF(OR(AW24="Trafo Primario",AW24="Trafo Primario - Secundario",AW24="Protección Tablero"),BS24,Q24))&lt;CONDUCTORES!$E$144,CONDUCTORES!$E$144,IF((IF(OR(AW24="Trafo Primario",AW24="Trafo Primario - Secundario",AW24="Protección Tablero"),BS24,Q24))&lt;CONDUCTORES!$E$145,CONDUCTORES!$E$145,IF((IF(OR(AW24="Trafo Primario",AW24="Trafo Primario - Secundario",AW24="Protección Tablero"),BS24,Q24))&lt;CONDUCTORES!$E$146,CONDUCTORES!$E$146,IF((IF(OR(AW24="Trafo Primario",AW24="Trafo Primario - Secundario",AW24="Protección Tablero"),BS24,Q24))&lt;CONDUCTORES!$E$147,CONDUCTORES!$E$147,IF((IF(OR(AW24="Trafo Primario",AW24="Trafo Primario - Secundario",AW24="Protección Tablero"),BS24,Q24))&lt;CONDUCTORES!$E$148,CONDUCTORES!$E$148,IF((IF(OR(AW24="Trafo Primario",AW24="Trafo Primario - Secundario",AW24="Protección Tablero"),BS24,Q24))&lt;CONDUCTORES!$E$149,CONDUCTORES!$E$149,))))))))))))))))))))))))))))))))))))))))</f>
        <v>15</v>
      </c>
      <c r="T24" s="1048">
        <f>IF(AZ24&lt;10,CONCATENATE(ROUND(((IF(L24=1,K24,K24/SQRT(3)))/((((VLOOKUP(AM24,CONDUCTORES!$L$83:$N$97,IF(AQ24="Al",2,3),FALSE))/(AN24))*(G24/1000))+(((VLOOKUP(IF(BB24="No",(IF(AQ24="Al",LOOKUP(S24,CONDUCTORES!$A$111:$A$131,CONDUCTORES!$C$111:$C$131),LOOKUP(S24,CONDUCTORES!$A$111:$A$131,CONDUCTORES!$B$111:$B$131))),BB24),CONDUCTORES!$L$83:$N$97,IF(AQ24="Al",2,3),FALSE))/IF(BB24="No",1,BA24))*(G24/1000))))/1000,2)," &lt; 10*Inp"),((IF(L24=1,K24,K24/SQRT(3)))/((((VLOOKUP(AM24,CONDUCTORES!$L$83:$N$97,IF(AQ24="Al",2,3),FALSE))/(AN24))*(G24/1000))+(((VLOOKUP(IF(BB24="No",(IF(AQ24="Al",LOOKUP(S24,CONDUCTORES!$A$111:$A$131,CONDUCTORES!$C$111:$C$131),LOOKUP(S24,CONDUCTORES!$A$111:$A$131,CONDUCTORES!$B$111:$B$131))),BB24),CONDUCTORES!$L$83:$N$97,IF(AQ24="Al",2,3),FALSE))/IF(BB24="No",1,BA24))*(G24/1000))))/1000)</f>
        <v>0.23307673374795448</v>
      </c>
      <c r="U24" s="830">
        <v>0.02</v>
      </c>
      <c r="V24" s="1062" t="str">
        <f t="shared" si="23"/>
        <v>ALUMINIO, XHHW-2, 600 V, 90°C, Multiconductor</v>
      </c>
      <c r="W24" s="1055" t="str">
        <f>IF(Z24="AÉREO",CONCATENATE(AN24,"x[3x(1x",AM24,")] + ",AN24,"x(1Nx",(VLOOKUP(BU24,CONDUCTORES!$A$156:$Y$161,25,FALSE))," AWG)"),IF(AND(AO24="Multiconductor",AY24="SI"),(CONCATENATE(AN24,"x(",IF(AO24="Monopolar",L24,IF(AW24="Motor Alimentado de VFD",3,MID(AP24,1,1))),"x",AM24,IF(AW24="Motor Alimentado de VFD",,")")," + ",IF(BD24="No","",CONCATENATE(" ",AN24,"x(",BC24,"Nx",BD24,") + ")),IF(AW24="Motor Alimentado de VFD",,IF(ISERROR(VLOOKUP(D24,'H4-CANALIZACIONES'!$C$28:$AN$40,COLUMN('H4-CANALIZACIONES'!#REF!),FALSE))=TRUE,AN24,VLOOKUP(D24,'H4-CANALIZACIONES'!$C$28:$AN$40,COLUMN('H4-CANALIZACIONES'!#REF!),FALSE))),IF(AW24="Motor Alimentado de VFD",,"x("),IF(BB24="No",IF(AW24="Motor Alimentado de VFD",3,1),BA24),"Gx",(IF(AQ24="Al",IF(AW24="Motor Alimentado de VFD",VLOOKUP(AM24,CONDUCTORES!$H$84:$J$98,3,FALSE),IF(BB24="No",LOOKUP(S24,CONDUCTORES!$A$111:$A$131,CONDUCTORES!$C$111:$C$131),BB24)),IF(AW24="Motor Alimentado de VFD",VLOOKUP(AM24,CONDUCTORES!$H$84:$J$98,3,FALSE),IF(BB24="No",LOOKUP(S24,CONDUCTORES!$A$111:$A$131,CONDUCTORES!$B$111:$B$131),BB24)))),")")),(IF(AO24="Multiconductor",CONCATENATE(AN24,"x(",IF(AO24="Monopolar",L24,IF(AW24="Motor Alimentado de VFD",3,MID(AP24,1,1))),"x",AM24,IF(AW24="Motor Alimentado de VFD",CONCATENATE(" + 3Gx",VLOOKUP(AM24,CONDUCTORES!$H$84:$J$98,3,FALSE)),""),")"),(IF(AND(K24=480,AY24="No"),CONCATENATE(AN24,"x[",L24,"x(1x",AM24,")]",IF(BD24="No","",CONCATENATE(" ",AN24,"x(",BC24,"Nx",BD24,")"))),IF(AND(AO24="Monopolar",K24&lt;&gt;34500,Z24&lt;&gt;"BANDEJA"),CONCATENATE(AN24,"x[",L24,"x(1x",AM24,")] + ",IF(BD24="No","",CONCATENATE(" ",AN24,"x(",BC24,"Nx",BD24,") + ")),IF(ISERROR(VLOOKUP(D24,'H4-CANALIZACIONES'!$C$28:$AN$40,COLUMN('H4-CANALIZACIONES'!#REF!),FALSE))=TRUE,'H4-CANALIZACIONES'!AO33,VLOOKUP(D24,'H4-CANALIZACIONES'!$C$28:$AN$40,COLUMN('H4-CANALIZACIONES'!#REF!),FALSE)),"x(",IF(BB24="No",1,BA24),"Gx",(IF(AQ24="Al",IF(AW24="Motor Alimentado de VFD",VLOOKUP(AM24,CONDUCTORES!$H$84:$J$98,3,FALSE),IF(BB24="No",LOOKUP(S24,CONDUCTORES!$A$111:$A$131,CONDUCTORES!$C$111:$C$131),BB24)),IF(AW24="Motor Alimentado de VFD",VLOOKUP(AM24,CONDUCTORES!$H$84:$J$98,3,FALSE),IF(BB24="No",LOOKUP(S24,CONDUCTORES!$A$111:$A$131,CONDUCTORES!$B$111:$B$131),BB24)))),")"),IF(K24=34500,CONCATENATE(AN24,"x[",L24,"x(1x",AM24,")]"),IF(AND(AY24="SI"),CONCATENATE(AN24,"x[",IF(AO24="Monopolar",L24,MID(AP24,1,1)),"x(1x",AM24,")] + ",IF(BD24="No","",CONCATENATE(" ",AN24,"x(",BC24,"Nx",BD24,") + ")),1,"x(",IF(BB24="No",1,BA24),"Gx",(IF(AQ24="Al",IF(AW24="Motor Alimentado de VFD",VLOOKUP(AM24,CONDUCTORES!$H$84:$J$98,3,FALSE),IF(BB24="No",LOOKUP(S24,CONDUCTORES!$A$111:$A$131,CONDUCTORES!$C$111:$C$131),BB24)),IF(AW24="Motor Alimentado de VFD",VLOOKUP(AM24,CONDUCTORES!$H$84:$J$98,3,FALSE),IF(BB24="No",LOOKUP(S24,CONDUCTORES!$A$111:$A$131,CONDUCTORES!$B$111:$B$131),BB24)))),")"),CONCATENATE(AN24,"x(",IF(AO24="Monopolar",L24,MID(AP24,1,1)),"x",AM24,")"))))))))))</f>
        <v>1x(4x12 AWG)</v>
      </c>
      <c r="X24" s="1062" t="str">
        <f>IF(AND(AN24&gt;=2,OR(AM24="12 AWG",AM24="10 AWG",AM24="8 AWG",AM24="6 AWG",AM24="4 AWG",AM24="2 AWG")),"NO SE PERMITEN "&amp;AN24&amp;" CONDUCTORES DE "&amp;AM24&amp;"",""&amp;IF(AN24=1,"",IF(AN24=2,"1/2-",IF(AN24=3,"1/2/3-",IF(AN24=4,"1/2/3/4-",IF(AN24=5,"1/2/3/4/5-",IF(AN24=6,"1/2/3/4/5/6-",IF(AN24=7,"1/2/3/4/5/6/7-",IF(AN24=8,"1/2/3/4/5/6/7/8-",IF(AN24=9,"1/2/3/4/5/6/7/8/9-","1/2/3/4/5/6/7/8/9/10-")))))))))&amp;""&amp;IF(MID(D24,1,1)="H","H",IF(MID(D24,1,3)="ILU","A","P"))&amp;"-"&amp;IF(OR(AND(AO24="Monopolar",AY24="SI"),AND(AO24="Multiconductor",AP24="4/C  -")),"06",IF(AND(AO24="Monopolar",AY24="No"),"05",IF(AND(AO24="Multiconductor",AP24="3/C  -",AY24="No"),IF(AW24="Motor Alimentado de VFD","06",IF(AND(AO24="Multiconductor",AP24="2/C  -",AY24="No"),"01",IF(AW24="Otra Carga","02","04"))))))&amp;"-"&amp;VLOOKUP(K24,'CODIFICACIÓN ECO'!$F$5:$G$21,2,FALSE)&amp;"-"&amp;D24&amp;"")</f>
        <v>P-06-08-MR-DT-58</v>
      </c>
      <c r="Y24" s="1061">
        <f>IF(Z24="AÉREO",LOOKUP(BU24,CONDUCTORES!$A$156:$A$161,CONDUCTORES!$P$156:$P$161),IF(AND(Z24="BANDEJA",AQ24="Cu",OR(AV24=0,AV24=1)),LOOKUP(BU24,CONDUCTORES!$A$9:$A$62,CONDUCTORES!$M$9:$M$62),IF(AND(OR(Z24="BANCO DE DUCTOS",Z24="TUBO"),AQ24="Cu"),LOOKUP(BU24,CONDUCTORES!$A$9:$A$62,CONDUCTORES!$L$9:$L$62),IF(AND(Z24="BANDEJA",AQ24="Al",OR(AV24=0,AV24=1)),LOOKUP(BU24,CONDUCTORES!$A$9:$A$62,CONDUCTORES!$P$9:$P$62),IF(AND(OR(Z24="BANCO DE DUCTOS",Z24="TUBO"),AQ24="Al"),LOOKUP(BU24,CONDUCTORES!$A$9:$A$62,CONDUCTORES!$O$9:$O$62),IF(AND(Z24="BANDEJA",AQ24="Cu",AV24=2.15),LOOKUP(BU24,CONDUCTORES!$A$9:$A$62,CONDUCTORES!$N$9:$N$62),IF(AND(Z24="BANDEJA",AQ24="Al",AV24=2.15),LOOKUP(BU24,CONDUCTORES!$A$9:$A$62,CONDUCTORES!$Q$9:$Q$62),"")))))))</f>
        <v>25</v>
      </c>
      <c r="Z24" s="1062" t="s">
        <v>596</v>
      </c>
      <c r="AA24" s="1061">
        <f>IF(ISERROR(VLOOKUP(D24,'H4-CANALIZACIONES'!$C$2:$AN$36,3,FALSE))=TRUE,(IF(AO24="Multiconductor",IF(AW24="Motor Alimentado de VFD",3,IF(K24=120,1,(MID(AP24,1,1))-1)),L24)),IF(MOD(MID(W24,1,1),IF(VLOOKUP(D24,'H4-CANALIZACIONES'!$C$2:$AN$36,COLUMN('H4-CANALIZACIONES'!Y10),FALSE)="--",1,VLOOKUP(D24,'H4-CANALIZACIONES'!$C$26:$AN$36,COLUMN('H4-CANALIZACIONES'!Y10),FALSE)))=0,(MID(W24,1,1)/IF(VLOOKUP(D24,'H4-CANALIZACIONES'!$C$2:$AN$36,COLUMN('H4-CANALIZACIONES'!Y10),FALSE)="--",1,VLOOKUP(D24,'H4-CANALIZACIONES'!$C$26:$AN$36,COLUMN('H4-CANALIZACIONES'!Y10),FALSE)))*(IF(AO24="Multiconductor",IF(AW24="Motor Alimentado de VFD",3,IF(K24=120,1,(MID(AP24,1,1))-1)),L24)),"NO"))</f>
        <v>3</v>
      </c>
      <c r="AB24" s="1056">
        <f t="shared" si="24"/>
        <v>1</v>
      </c>
      <c r="AC24" s="1063" t="s">
        <v>597</v>
      </c>
      <c r="AD24" s="1064">
        <f t="shared" si="25"/>
        <v>1</v>
      </c>
      <c r="AE24" s="1059">
        <f t="shared" si="41"/>
        <v>25</v>
      </c>
      <c r="AF24" s="1065">
        <f t="shared" si="26"/>
        <v>0.208816944705773</v>
      </c>
      <c r="AG24" s="1065">
        <f t="shared" si="3"/>
        <v>2.488293675674095</v>
      </c>
      <c r="AH24" s="1065">
        <f t="shared" si="27"/>
        <v>0.99875233887784465</v>
      </c>
      <c r="AI24" s="831" t="str">
        <f t="shared" si="28"/>
        <v>SI</v>
      </c>
      <c r="AJ24" s="832" t="str">
        <f t="shared" si="29"/>
        <v>NO</v>
      </c>
      <c r="AK24" s="812">
        <f>SQRT((IF(AQ24="Cu",0.0297,0.0125))*LOG10((150+(IF(AQ24="Cu",234,228)))/(90+(IF(AQ24="Cu",234,228))))/U24)*LOOKUP(BU24,CONDUCTORES!$A$9:$A$62,CONDUCTORES!$W$9:$W$62)</f>
        <v>1.4149298752448625</v>
      </c>
      <c r="AL24" s="758">
        <v>10</v>
      </c>
      <c r="AM24" s="548" t="s">
        <v>802</v>
      </c>
      <c r="AN24" s="548">
        <v>1</v>
      </c>
      <c r="AO24" s="548" t="s">
        <v>1055</v>
      </c>
      <c r="AP24" s="548" t="s">
        <v>645</v>
      </c>
      <c r="AQ24" s="341" t="s">
        <v>601</v>
      </c>
      <c r="AR24" s="341" t="s">
        <v>97</v>
      </c>
      <c r="AS24" s="548">
        <v>1</v>
      </c>
      <c r="AT24" s="548">
        <v>1</v>
      </c>
      <c r="AU24" s="548" t="s">
        <v>613</v>
      </c>
      <c r="AV24" s="548">
        <v>1</v>
      </c>
      <c r="AW24" s="549" t="s">
        <v>657</v>
      </c>
      <c r="AX24" s="548">
        <v>5</v>
      </c>
      <c r="AY24" s="550" t="s">
        <v>605</v>
      </c>
      <c r="AZ24" s="547">
        <f>((( IF(L24=1,K24, (K24/SQRT(3))  )     /((((VLOOKUP(AM24,CONDUCTORES!$L$83:$N$97,IF(AQ24="Al",2,3),FALSE))/(AN24))*(G24/1000))+(((VLOOKUP(IF(BB24="No",IF(AO24="Multiconductor",AM24,(IF(AQ24="Al",LOOKUP(S24,CONDUCTORES!$A$111:$A$131,CONDUCTORES!$C$111:$C$131),LOOKUP(S24,CONDUCTORES!$A$111:$A$131,CONDUCTORES!$B$111:$B$131)))),BB24),CONDUCTORES!$L$83:$N$97,IF(AQ24="Al",2,3),FALSE))/IF(BB24="No",1,BA24))*(G24/1000))))/1000)/(S24))*1000</f>
        <v>15.538448916530299</v>
      </c>
      <c r="BA24" s="548">
        <v>1</v>
      </c>
      <c r="BB24" s="548" t="s">
        <v>605</v>
      </c>
      <c r="BC24" s="548">
        <v>1</v>
      </c>
      <c r="BD24" s="548" t="s">
        <v>605</v>
      </c>
      <c r="BE24" s="565">
        <f>BG24*((IF(Z24="BANDEJA",1,VLOOKUP(AA24,'% PORTADORES I'!$A$2:$B$42,2,FALSE)))*(IF(Z24="AÉREO",LOOKUP(BV24,CONDUCTORES!$A$156:$A$161,CONDUCTORES!$P$156:$P$161),IF(AND(Z24="BANDEJA",OR(AV24=0,AV24=1)),IF(BH24="Cu",LOOKUP(BV24,CONDUCTORES!$A$9:$A$62,CONDUCTORES!$M$9:$M$62),LOOKUP(BV24,CONDUCTORES!$A$9:$A$62,CONDUCTORES!$P$9:$P$62)),IF(OR(Z24="BANCO DE DUCTOS",Z24="TUBO"),IF(BH24="Cu",LOOKUP(BV24,CONDUCTORES!$A$9:$A$62,CONDUCTORES!$L$9:$L$62),LOOKUP(BV24,CONDUCTORES!$A$9:$A$62,CONDUCTORES!$O$9:$O$62)),IF(AND(Z24="BANDEJA",AV24=2.15),IF(BH24="Cu",LOOKUP(BV24,CONDUCTORES!$A$9:$A$62,CONDUCTORES!$N$9:$N$62),LOOKUP(BV24,CONDUCTORES!$A$9:$A$62,CONDUCTORES!$Q$9:$Q$62))))))))*AD24*AB24</f>
        <v>25</v>
      </c>
      <c r="BF24" s="548" t="str">
        <f t="shared" si="14"/>
        <v>12 AWG</v>
      </c>
      <c r="BG24" s="548">
        <f t="shared" si="11"/>
        <v>1</v>
      </c>
      <c r="BH24" s="341" t="s">
        <v>601</v>
      </c>
      <c r="BI24" s="641" t="str">
        <f t="shared" si="30"/>
        <v>4/C  -</v>
      </c>
      <c r="BJ24" s="618">
        <f>IF(Z24="AÉREO",LOOKUP(BU24,CONDUCTORES!$A$156:$A$161,CONDUCTORES!$D$156:$D$161),LOOKUP(BU24,CONDUCTORES!$A$9:$A$62,CONDUCTORES!$D$9:$D$62))</f>
        <v>10.5</v>
      </c>
      <c r="BK24" s="621">
        <f>LOOKUP(BU24,CONDUCTORES!$A$9:$A$62,CONDUCTORES!$R$9:$R$62)</f>
        <v>3.1</v>
      </c>
      <c r="BL24" s="619">
        <f>IF(AQ24="Cu",LOOKUP(BU24,CONDUCTORES!$A$9:$A$62,CONDUCTORES!$H$9:$H$62),IF(AQ24="Al",LOOKUP(BU24,CONDUCTORES!$A$9:$A$62,CONDUCTORES!$J$9:$J$62),"Err Material"))</f>
        <v>11.009255000000001</v>
      </c>
      <c r="BM24" s="619">
        <f>LOOKUP(BU24,CONDUCTORES!$A$9:$A$62,CONDUCTORES!$I$9:$I$62)</f>
        <v>0.2230971128608924</v>
      </c>
      <c r="BN24" s="620">
        <f t="shared" si="31"/>
        <v>25</v>
      </c>
      <c r="BO24" s="625">
        <f t="shared" si="32"/>
        <v>1</v>
      </c>
      <c r="BP24" s="620" t="str">
        <f>IF(BR24&gt;Q24,Listas!C$2,Listas!C$3)</f>
        <v>Si</v>
      </c>
      <c r="BQ24" s="620" t="str">
        <f>IF(AF24&lt;$BQ$12*100,Listas!C$2,Listas!C$3)</f>
        <v>Si</v>
      </c>
      <c r="BR24" s="621">
        <f>AN24*((IF(Z24="BANDEJA",1,VLOOKUP(AA24,'% PORTADORES I'!$A$2:$B$42,2,FALSE)))*(Y24))*AD24*AB24</f>
        <v>25</v>
      </c>
      <c r="BS24" s="621">
        <f t="shared" si="33"/>
        <v>1.5053945482660267</v>
      </c>
      <c r="BT24" s="642" t="str">
        <f t="shared" si="34"/>
        <v>12 AWG</v>
      </c>
      <c r="BU24" s="622">
        <f>IF(AO24="Monopolar",VLOOKUP(AM24,CONDUCTORES!$B$9:$X$23,23,FALSE),IF(AND(AM24="12 AWG",AO24="Multiconductor",AP24="2/C  -"),16,IF(AND(AM24="12 AWG",AO24="Multiconductor",AP24="3/C  -"),17,IF(AND(AM24="12 AWG",AO24="Multiconductor",AP24="4/C  -"),18,IF(AND(AM24="10 AWG",AO24="Multiconductor",AP24="2/C  -"),19,IF(AND(AM24="10 AWG",AO24="Multiconductor",AP24="3/C  -"),20,IF(AND(AM24="10 AWG",AO24="Multiconductor",AP24="4/C  -"),21,IF(AND(AM24="8 AWG",AO24="Multiconductor",AP24="2/C  -"),22,IF(AND(AM24="8 AWG",AO24="Multiconductor",AP24="3/C  -"),23,IF(AND(AM24="8 AWG",AO24="Multiconductor",AP24="4/C  -"),24,IF(AND(AM24="6 AWG",AO24="Multiconductor",AP24="2/C  -"),25,IF(AND(AM24="6 AWG",AO24="Multiconductor",AP24="3/C  -"),26,IF(AND(AM24="6 AWG",AO24="Multiconductor",AP24="4/C  -"),27,IF(AND(AM24="4 AWG",AO24="Multiconductor",AP24="2/C  -"),28,IF(AND(AM24="4 AWG",AO24="Multiconductor",AP24="3/C  -"),29,IF(AND(AM24="4 AWG",AO24="Multiconductor",AP24="4/C  -"),30,IF(AND(AM24="2 AWG",AO24="Multiconductor",AP24="2/C  -"),31,IF(AND(AM24="2 AWG",AO24="Multiconductor",AP24="3/C  -"),32,IF(AND(AM24="2 AWG",AO24="Multiconductor",AP24="4/C  -"),33,IF(AND(AM24="1/0 AWG",AO24="Multiconductor",AP24="2/C  -"),34,IF(AND(AM24="1/0 AWG",AO24="Multiconductor",AP24="3/C  -"),35,IF(AND(AM24="1/0 AWG",AO24="Multiconductor",AP24="4/C  -"),36,IF(AND(AM24="2/0 AWG",AO24="Multiconductor",AP24="2/C  -"),37,IF(AND(AM24="2/0 AWG",AO24="Multiconductor",AP24="3/C  -"),38,IF(AND(AM24="2/0 AWG",AO24="Multiconductor",AP24="4/C  -"),39,IF(AND(AM24="3/0 AWG",AO24="Multiconductor",AP24="2/C  -"),40,IF(AND(AM24="3/0 AWG",AO24="Multiconductor",AP24="3/C  -"),41,IF(AND(AM24="3/0 AWG",AO24="Multiconductor",AP24="4/C  -"),42,IF(AND(AM24="4/0 AWG",AO24="Multiconductor",AP24="2/C  -"),43,IF(AND(AM24="4/0 AWG",AO24="Multiconductor",AP24="3/C  -"),44,IF(AND(AM24="4/0 AWG",AO24="Multiconductor",AP24="4/C  -"),45,IF(AND(AM24="250 kcmil",AO24="Multiconductor",AP24="2/C  -"),46,IF(AND(AM24="250 kcmil",AO24="Multiconductor",AP24="3/C  -"),47,IF(AND(AM24="250 kcmil",AO24="Multiconductor",AP24="4/C  -"),48,IF(AND(AM24="350 kcmil",AO24="Multiconductor",AP24="2/C  -"),49,IF(AND(AM24="350 kcmil",AO24="Multiconductor",AP24="3/C  -"),50,IF(AND(AM24="350 kcmil",AO24="Multiconductor",AP24="4/C  -"),51,IF(AND(AM24="500 kcmil",AO24="Multiconductor",AP24="2/C  -"),52,IF(AND(AM24="500 kcmil",AO24="Multiconductor",AP24="3/C  -"),53,IF(AND(AM24="500 kcmil",AO24="Multiconductor",AP24="4/C  -"),54,FALSE))))))))))))))))))))))))))))))))))))))))</f>
        <v>18</v>
      </c>
      <c r="BV24" s="622">
        <f>IF(AO24="Monopolar",VLOOKUP(BF24,CONDUCTORES!$B$9:$X$23,23,FALSE),IF(AND(BF24="12 AWG",AO24="Multiconductor",AP24="2/C  -"),16,IF(AND(BF24="12 AWG",AO24="Multiconductor",AP24="3/C  -"),17,IF(AND(BF24="12 AWG",AO24="Multiconductor",AP24="4/C  -"),18,IF(AND(BF24="10 AWG",AO24="Multiconductor",AP24="2/C  -"),19,IF(AND(BF24="10 AWG",AO24="Multiconductor",AP24="3/C  -"),20,IF(AND(BF24="10 AWG",AO24="Multiconductor",AP24="4/C  -"),21,IF(AND(BF24="8 AWG",AO24="Multiconductor",AP24="2/C  -"),22,IF(AND(BF24="8 AWG",AO24="Multiconductor",AP24="3/C  -"),23,IF(AND(BF24="8 AWG",AO24="Multiconductor",AP24="4/C  -"),24,IF(AND(BF24="6 AWG",AO24="Multiconductor",AP24="2/C  -"),25,IF(AND(BF24="6 AWG",AO24="Multiconductor",AP24="3/C  -"),26,IF(AND(BF24="6 AWG",AO24="Multiconductor",AP24="4/C  -"),27,IF(AND(BF24="4 AWG",AO24="Multiconductor",AP24="2/C  -"),28,IF(AND(BF24="4 AWG",AO24="Multiconductor",AP24="3/C  -"),29,IF(AND(BF24="4 AWG",AO24="Multiconductor",AP24="4/C  -"),30,IF(AND(BF24="2 AWG",AO24="Multiconductor",AP24="2/C  -"),31,IF(AND(BF24="2 AWG",AO24="Multiconductor",AP24="3/C  -"),32,IF(AND(BF24="2 AWG",AO24="Multiconductor",AP24="4/C  -"),33,IF(AND(BF24="1/0 AWG",AO24="Multiconductor",AP24="2/C  -"),34,IF(AND(BF24="1/0 AWG",AO24="Multiconductor",AP24="3/C  -"),35,IF(AND(BF24="1/0 AWG",AO24="Multiconductor",AP24="4/C  -"),36,IF(AND(BF24="2/0 AWG",AO24="Multiconductor",AP24="2/C  -"),37,IF(AND(BF24="2/0 AWG",AO24="Multiconductor",AP24="3/C  -"),38,IF(AND(BF24="2/0 AWG",AO24="Multiconductor",AP24="4/C  -"),39,IF(AND(BF24="3/0 AWG",AO24="Multiconductor",AP24="2/C  -"),40,IF(AND(BF24="3/0 AWG",AO24="Multiconductor",AP24="3/C  -"),41,IF(AND(BF24="3/0 AWG",AO24="Multiconductor",AP24="4/C  -"),42,IF(AND(BF24="4/0 AWG",AO24="Multiconductor",AP24="2/C  -"),43,IF(AND(BF24="4/0 AWG",AO24="Multiconductor",AP24="3/C  -"),44,IF(AND(BF24="4/0 AWG",AO24="Multiconductor",AP24="4/C  -"),45,IF(AND(BF24="250 kcmil",AO24="Multiconductor",AP24="2/C  -"),46,IF(AND(BF24="250 kcmil",AO24="Multiconductor",AP24="3/C  -"),47,IF(AND(BF24="250 kcmil",AO24="Multiconductor",AP24="4/C  -"),48,IF(AND(BF24="350 kcmil",AO24="Multiconductor",AP24="2/C  -"),49,IF(AND(BF24="350 kcmil",AO24="Multiconductor",AP24="3/C  -"),50,IF(AND(BF24="350 kcmil",AO24="Multiconductor",AP24="4/C  -"),51,IF(AND(BF24="500 kcmil",AO24="Multiconductor",AP24="2/C  -"),52,IF(AND(BF24="500 kcmil",AO24="Multiconductor",AP24="3/C  -"),53,IF(AND(BF24="500 kcmil",AO24="Multiconductor",AP24="4/C  -"),54,FALSE))))))))))))))))))))))))))))))))))))))))</f>
        <v>18</v>
      </c>
      <c r="BW24" s="623">
        <f t="shared" si="35"/>
        <v>6.0215781930641067E-2</v>
      </c>
      <c r="BX24" s="624">
        <f t="shared" si="36"/>
        <v>1</v>
      </c>
      <c r="BY24" s="625">
        <f t="shared" si="37"/>
        <v>0.6</v>
      </c>
      <c r="BZ24" s="625">
        <f t="shared" si="38"/>
        <v>1</v>
      </c>
      <c r="CA24" s="626">
        <f>IF(AS24&gt;4,"# FILAS Fuera de rango",IF(AT24&gt;15,"#COLUMNAS Fuera de rango",IF(BU24=0,"CALIBRE CABLE CERO",IF(OR(BU24=1,BU24=16,BU24=17,BU24=18),INDEX('0-5000'!$D$4:$R$7,AS24,AT24),IF(OR(BU24=2,BU24=19,BU24=20,BU24=21),INDEX('0-5000'!$D$8:$R$11,AS24,AT24),IF(OR(BU24=3,BU24=22,BU24=23,BU24=24),INDEX('0-5000'!$D$12:$R$15,AS24,AT24),IF(OR(BU24=4,BU24=25,BU24=26,BU24=27),INDEX('0-5000'!$D$16:$R$19,AS24,AT24),CB24)))))))</f>
        <v>1</v>
      </c>
      <c r="CB24" s="627">
        <f>IF(OR(BU24=1,BU24=16,BU24=17,BU24=18),INDEX('0-5000'!$D$4:$R$7,AS24,AT24),IF(OR(BU24=2,BU24=19,BU24=20,BU24=21),INDEX('0-5000'!$D$8:$R$11,AS24,AT24),IF(OR(BU24=3,BU24=22,BU24=23,BU24=24),INDEX('0-5000'!$D$12:$R$15,AS24,AT24),IF(OR(BU24=4,BU24=25,BU24=26,BU24=27),INDEX('0-5000'!$D$18:$R$19,AS24,AT24),IF(OR(BU24=5,BU24=28,BU24=29,BU24=30),INDEX('0-5000'!$D$20:$R$23,AS24,AT24),IF(OR(BU24=6,BU24=31,BU24=32,BU24=33),INDEX('0-5000'!$D$24:$R$27,AS24,AT24),IF(OR(BU24=7,BU24=34,BU24=35,BU24=36),INDEX('0-5000'!$D$32:$R$35,AS24,AT24),IF(OR(BU24=8,BU24=37,BU24=38,BU24=39),INDEX('0-5000'!$D$36:$R$39,AS24,AT24),IF(OR(BU24=9,BU24=40,BU24=41,BU24=42),INDEX('0-5000'!$D$40:$R$43,AS24,AT24),IF(OR(BU24=10,BU24=43,BU24=44,BU24=45),INDEX('0-5000'!$D$44:$R$47,AS24,AT24),IF(OR(BU24=11,BU24=46,BU24=47,BU24=48),INDEX('0-5000'!$D$48:$R$51,AS24,AT24),IF(OR(BU24=12,BU24=49,BU24=50,BU24=51),INDEX('0-5000'!$D$52:$R$55,AS24,AT24),IF(OR(BU24=13,BU24=52,BU24=53,BU24=54),INDEX('0-5000'!$D$56:$R$59,AS24,AT24),IF(OR(BU24=14,BU24=55,BU24=56,BU24=57),INDEX('0-5000'!$D$60:$R$63,AS24,AT24),IF(BU24=15,INDEX('0-5000'!$D$64:$R$67,AS24,AT24),"# CABLE Fuera de Rango")))))))))))))))</f>
        <v>1</v>
      </c>
      <c r="CC24" s="643">
        <f>VLOOKUP($AC24,Listas!$A$20:$B$29,2,FALSE)</f>
        <v>1</v>
      </c>
      <c r="CD24" s="616">
        <f t="shared" si="39"/>
        <v>2</v>
      </c>
    </row>
    <row r="25" spans="2:82" ht="34.200000000000003" customHeight="1" x14ac:dyDescent="0.25">
      <c r="B25" s="338">
        <f>+IF(OR(CD25=0,CD25=1),0,COUNTIF(CD$15:CD25,CD25))</f>
        <v>8</v>
      </c>
      <c r="C25" s="819" t="str">
        <f>+_xlfn.CONCAT($C$17,".",SUBTOTAL(103,$D$18:D25))</f>
        <v>2.1.8</v>
      </c>
      <c r="D25" s="820" t="str">
        <f>+Longitudes!C17</f>
        <v>VFD-DT-97</v>
      </c>
      <c r="E25" s="821" t="s">
        <v>2000</v>
      </c>
      <c r="F25" s="1040" t="str">
        <f>+Longitudes!B17</f>
        <v>TBT-DT-97</v>
      </c>
      <c r="G25" s="1311">
        <f>+Longitudes!L17</f>
        <v>5</v>
      </c>
      <c r="H25" s="828"/>
      <c r="I25" s="1312">
        <f>'Demanda Trafo A'!S6</f>
        <v>46.9</v>
      </c>
      <c r="J25" s="829" t="s">
        <v>595</v>
      </c>
      <c r="K25" s="827">
        <v>480</v>
      </c>
      <c r="L25" s="827">
        <v>3</v>
      </c>
      <c r="M25" s="830">
        <f>+'H1-CUADRO DE CARGAS'!$M$12</f>
        <v>0.79600000000000004</v>
      </c>
      <c r="N25" s="830">
        <f>+'H1-CUADRO DE CARGAS'!$O$12</f>
        <v>0.94099999999999995</v>
      </c>
      <c r="O25" s="1045">
        <f>(IF(L25=1,IF(J25="HP",(I25*746)/(K25*M25),IF(J25="kVA",I25*1000/K25,IF(J25="kW",I25*1000/(K25*M25),""))),IF(L25=3,IF(J25="HP",IF(OR(K25=4160,K25=34500),((I25*0.746)/M25)*1000/(SQRT(3)*K25*N25),IF(AND(K25&lt;=480,K25&gt;=440),VLOOKUP(I25,'I Plena Carga'!$C$3:$I$29,7),IF(AND(K25&lt;=240,K25&gt;=220),VLOOKUP(I25,'I Plena Carga'!$C$3:$G$29,5),IF(K25=208,VLOOKUP(I25,'I Plena Carga'!$C$3:$F$29,4),IF(AND(K25&lt;=127,K25&gt;=110),VLOOKUP(I25,'I Plena Carga'!$C$3:$D$29,2),""))))),IF(J25="kVA",I25*1000/(SQRT(3)*K25),IF(J25="kW",I25*1000/(SQRT(3)*K25*M25),""))),IF(L25=2,IF(J25="HP",(I25*746)/(K25*M25),IF(J25="kVA",I25*1000/(K25),IF(J25="kW",I25*1000/(K25*M25),""))),"Rev.#Fases"))))*(SQRT(1+((AX25/100)^2)))</f>
        <v>56.482403450941327</v>
      </c>
      <c r="P25" s="1046" t="str">
        <f t="shared" si="21"/>
        <v>N/A</v>
      </c>
      <c r="Q25" s="1047">
        <f t="shared" si="22"/>
        <v>70.603004313676664</v>
      </c>
      <c r="R25" s="1047">
        <f t="shared" si="40"/>
        <v>80</v>
      </c>
      <c r="S25" s="1047">
        <f>(IF((IF(OR(AW25="Trafo Primario",AW25="Trafo Primario - Secundario",AW25="Protección Tablero"),BS25,Q25))&lt;CONDUCTORES!$E$111,CONDUCTORES!$E$111,IF((IF(OR(AW25="Trafo Primario",AW25="Trafo Primario - Secundario",AW25="Protección Tablero"),BS25,Q25))&lt;CONDUCTORES!$E$112,CONDUCTORES!$E$112,IF((IF(OR(AW25="Trafo Primario",AW25="Trafo Primario - Secundario",AW25="Protección Tablero"),BS25,Q25))&lt;CONDUCTORES!$E$113,CONDUCTORES!$E$113,IF((IF(OR(AW25="Trafo Primario",AW25="Trafo Primario - Secundario",AW25="Protección Tablero"),BS25,Q25))&lt;CONDUCTORES!$E$114,CONDUCTORES!$E$114,IF((IF(OR(AW25="Trafo Primario",AW25="Trafo Primario - Secundario",AW25="Protección Tablero"),BS25,Q25))&lt;CONDUCTORES!$E$115,CONDUCTORES!$E$115,IF((IF(OR(AW25="Trafo Primario",AW25="Trafo Primario - Secundario",AW25="Protección Tablero"),BS25,Q25))&lt;CONDUCTORES!$E$116,CONDUCTORES!$E$116,IF((IF(OR(AW25="Trafo Primario",AW25="Trafo Primario - Secundario",AW25="Protección Tablero"),BS25,Q25))&lt;CONDUCTORES!$E$117,CONDUCTORES!$E$117,IF((IF(OR(AW25="Trafo Primario",AW25="Trafo Primario - Secundario",AW25="Protección Tablero"),BS25,Q25))&lt;CONDUCTORES!$E$118,CONDUCTORES!$E$118,IF((IF(OR(AW25="Trafo Primario",AW25="Trafo Primario - Secundario",AW25="Protección Tablero"),BS25,Q25))&lt;CONDUCTORES!$E$119,CONDUCTORES!$E$119,IF((IF(OR(AW25="Trafo Primario",AW25="Trafo Primario - Secundario",AW25="Protección Tablero"),BS25,Q25))&lt;CONDUCTORES!$E$120,CONDUCTORES!$E$120,IF((IF(OR(AW25="Trafo Primario",AW25="Trafo Primario - Secundario",AW25="Protección Tablero"),BS25,Q25))&lt;CONDUCTORES!$E$121,CONDUCTORES!$E$121,IF((IF(AND(AW25="Trafo Primario",AW25="Trafo Primario - Secundario",AW25="Protección Tablero"),BS25,Q25))&lt;CONDUCTORES!$E$122,CONDUCTORES!$E$122,IF((IF(OR(AW25="Trafo Primario",AW25="Trafo Primario - Secundario",AW25="Protección Tablero"),BS25,Q25))&lt;CONDUCTORES!$E$123,CONDUCTORES!$E$123,IF((IF(OR(AW25="Trafo Primario",AW25="Trafo Primario - Secundario",AW25="Protección Tablero"),BS25,Q25))&lt;CONDUCTORES!$E$124,CONDUCTORES!$E$124,IF((IF(OR(AW25="Trafo Primario",AW25="Trafo Primario - Secundario",AW25="Protección Tablero"),BS25,Q25))&lt;CONDUCTORES!$E$125,CONDUCTORES!$E$125,IF((IF(OR(AW25="Trafo Primario",AW25="Trafo Primario - Secundario",AW25="Protección Tablero"),BS25,Q25))&lt;CONDUCTORES!$E$126,CONDUCTORES!$E$126,IF((IF(OR(AW25="Trafo Primario",AW25="Trafo Primario - Secundario",AW25="Protección Tablero"),BS25,Q25))&lt;CONDUCTORES!$E$127,CONDUCTORES!$E$127,IF((IF(OR(AW25="Trafo Primario",AW25="Trafo Primario - Secundario",AW25="Protección Tablero"),BS25,Q25))&lt;CONDUCTORES!$E$128,CONDUCTORES!$E$128,IF((IF(OR(AW25="Trafo Primario",AW25="Trafo Primario - Secundario",AW25="Protección Tablero"),BS25,Q25))&lt;CONDUCTORES!$E$129,CONDUCTORES!$E$129,IF((IF(OR(AW25="Trafo Primario",AW25="Trafo Primario - Secundario",AW25="Protección Tablero"),BS25,Q25))&lt;CONDUCTORES!$E$130,CONDUCTORES!$E$130,IF((IF(OR(AW25="Trafo Primario",AW25="Trafo Primario - Secundario",AW25="Protección Tablero"),BS25,Q25))&lt;CONDUCTORES!$E$131,CONDUCTORES!$E$131,IF((IF(OR(AW25="Trafo Primario",AW25="Trafo Primario - Secundario",AW25="Protección Tablero"),BS25,Q25))&lt;CONDUCTORES!$E$132,CONDUCTORES!$E$132,IF((IF(OR(AW25="Trafo Primario",AW25="Trafo Primario - Secundario",AW25="Protección Tablero"),BS25,Q25))&lt;CONDUCTORES!$E$133,CONDUCTORES!$E$133,IF((IF(OR(AW25="Trafo Primario",AW25="Trafo Primario - Secundario",AW25="Protección Tablero"),BS25,Q25))&lt;CONDUCTORES!$E$134,CONDUCTORES!$E$134,IF((IF(OR(AW25="Trafo Primario",AW25="Trafo Primario - Secundario",AW25="Protección Tablero"),BS25,Q25))&lt;CONDUCTORES!$E$135,CONDUCTORES!$E$135,IF((IF(OR(AW25="Trafo Primario",AW25="Trafo Primario - Secundario",AW25="Protección Tablero"),BS25,Q25))&lt;CONDUCTORES!$E$136,CONDUCTORES!$E$136,IF((IF(OR(AW25="Trafo Primario",AW25="Trafo Primario - Secundario",AW25="Protección Tablero"),BS25,Q25))&lt;CONDUCTORES!$E$137,CONDUCTORES!$E$137,IF((IF(OR(AW25="Trafo Primario",AW25="Trafo Primario - Secundario",AW25="Protección Tablero"),BS25,Q25))&lt;CONDUCTORES!$E$138,CONDUCTORES!$E$138,IF((IF(OR(AW25="Trafo Primario",AW25="Trafo Primario - Secundario",AW25="Protección Tablero"),BS25,Q25))&lt;CONDUCTORES!$E$139,CONDUCTORES!$E$139,IF((IF(OR(AW25="Trafo Primario",AW25="Trafo Primario - Secundario",AW25="Protección Tablero"),BS25,Q25))&lt;CONDUCTORES!$E$140,CONDUCTORES!$E$140,IF((IF(OR(AW25="Trafo Primario",AW25="Trafo Primario - Secundario",AW25="Protección Tablero"),BS25,Q25))&lt;CONDUCTORES!$E$141,CONDUCTORES!$E$141,IF((IF(OR(AW25="Trafo Primario",AW25="Trafo Primario - Secundario",AW25="Protección Tablero"),BS25,Q25))&lt;CONDUCTORES!$E$142,CONDUCTORES!$E$142,IF((IF(OR(AW25="Trafo Primario",AW25="Trafo Primario - Secundario",AW25="Protección Tablero"),BS25,Q25))&lt;CONDUCTORES!$E$143,CONDUCTORES!$E$143,IF((IF(OR(AW25="Trafo Primario",AW25="Trafo Primario - Secundario",AW25="Protección Tablero"),BS25,Q25))&lt;CONDUCTORES!$E$144,CONDUCTORES!$E$144,IF((IF(OR(AW25="Trafo Primario",AW25="Trafo Primario - Secundario",AW25="Protección Tablero"),BS25,Q25))&lt;CONDUCTORES!$E$145,CONDUCTORES!$E$145,IF((IF(OR(AW25="Trafo Primario",AW25="Trafo Primario - Secundario",AW25="Protección Tablero"),BS25,Q25))&lt;CONDUCTORES!$E$146,CONDUCTORES!$E$146,IF((IF(OR(AW25="Trafo Primario",AW25="Trafo Primario - Secundario",AW25="Protección Tablero"),BS25,Q25))&lt;CONDUCTORES!$E$147,CONDUCTORES!$E$147,IF((IF(OR(AW25="Trafo Primario",AW25="Trafo Primario - Secundario",AW25="Protección Tablero"),BS25,Q25))&lt;CONDUCTORES!$E$148,CONDUCTORES!$E$148,IF((IF(OR(AW25="Trafo Primario",AW25="Trafo Primario - Secundario",AW25="Protección Tablero"),BS25,Q25))&lt;CONDUCTORES!$E$149,CONDUCTORES!$E$149,))))))))))))))))))))))))))))))))))))))))</f>
        <v>80</v>
      </c>
      <c r="T25" s="1048">
        <f>IF(AZ25&lt;10,CONCATENATE(ROUND(((IF(L25=1,K25,K25/SQRT(3)))/((((VLOOKUP(AM25,CONDUCTORES!$L$83:$N$97,IF(AQ25="Al",2,3),FALSE))/(AN25))*(G25/1000))+(((VLOOKUP(IF(BB25="No",(IF(AQ25="Al",LOOKUP(S25,CONDUCTORES!$A$111:$A$131,CONDUCTORES!$C$111:$C$131),LOOKUP(S25,CONDUCTORES!$A$111:$A$131,CONDUCTORES!$B$111:$B$131))),BB25),CONDUCTORES!$L$83:$N$97,IF(AQ25="Al",2,3),FALSE))/IF(BB25="No",1,BA25))*(G25/1000))))/1000,2)," &lt; 10*Inp"),((IF(L25=1,K25,K25/SQRT(3)))/((((VLOOKUP(AM25,CONDUCTORES!$L$83:$N$97,IF(AQ25="Al",2,3),FALSE))/(AN25))*(G25/1000))+(((VLOOKUP(IF(BB25="No",(IF(AQ25="Al",LOOKUP(S25,CONDUCTORES!$A$111:$A$131,CONDUCTORES!$C$111:$C$131),LOOKUP(S25,CONDUCTORES!$A$111:$A$131,CONDUCTORES!$B$111:$B$131))),BB25),CONDUCTORES!$L$83:$N$97,IF(AQ25="Al",2,3),FALSE))/IF(BB25="No",1,BA25))*(G25/1000))))/1000)</f>
        <v>22.704840343743129</v>
      </c>
      <c r="U25" s="830">
        <v>0.02</v>
      </c>
      <c r="V25" s="1062" t="str">
        <f t="shared" si="23"/>
        <v>ALUMINIO, XHHW-2, 600 V, 90°C, Monopolar</v>
      </c>
      <c r="W25" s="1055" t="str">
        <f>IF(Z25="AÉREO",CONCATENATE(AN25,"x[3x(1x",AM25,")] + ",AN25,"x(1Nx",(VLOOKUP(BU25,CONDUCTORES!$A$156:$Y$161,25,FALSE))," AWG)"),IF(AND(AO25="Multiconductor",AY25="SI"),(CONCATENATE(AN25,"x(",IF(AO25="Monopolar",L25,IF(AW25="Motor Alimentado de VFD",3,MID(AP25,1,1))),"x",AM25,IF(AW25="Motor Alimentado de VFD",,")")," + ",IF(BD25="No","",CONCATENATE(" ",AN25,"x(",BC25,"Nx",BD25,") + ")),IF(AW25="Motor Alimentado de VFD",,IF(ISERROR(VLOOKUP(D25,'H4-CANALIZACIONES'!$C$28:$AN$40,COLUMN('H4-CANALIZACIONES'!#REF!),FALSE))=TRUE,AN25,VLOOKUP(D25,'H4-CANALIZACIONES'!$C$28:$AN$40,COLUMN('H4-CANALIZACIONES'!#REF!),FALSE))),IF(AW25="Motor Alimentado de VFD",,"x("),IF(BB25="No",IF(AW25="Motor Alimentado de VFD",3,1),BA25),"Gx",(IF(AQ25="Al",IF(AW25="Motor Alimentado de VFD",VLOOKUP(AM25,CONDUCTORES!$H$84:$J$98,3,FALSE),IF(BB25="No",LOOKUP(S25,CONDUCTORES!$A$111:$A$131,CONDUCTORES!$C$111:$C$131),BB25)),IF(AW25="Motor Alimentado de VFD",VLOOKUP(AM25,CONDUCTORES!$H$84:$J$98,3,FALSE),IF(BB25="No",LOOKUP(S25,CONDUCTORES!$A$111:$A$131,CONDUCTORES!$B$111:$B$131),BB25)))),")")),(IF(AO25="Multiconductor",CONCATENATE(AN25,"x(",IF(AO25="Monopolar",L25,IF(AW25="Motor Alimentado de VFD",3,MID(AP25,1,1))),"x",AM25,IF(AW25="Motor Alimentado de VFD",CONCATENATE(" + 3Gx",VLOOKUP(AM25,CONDUCTORES!$H$84:$J$98,3,FALSE)),""),")"),(IF(AND(K25=480,AY25="No"),CONCATENATE(AN25,"x[",L25,"x(1x",AM25,")]",IF(BD25="No","",CONCATENATE(" ",AN25,"x(",BC25,"Nx",BD25,")"))),IF(AND(AO25="Monopolar",K25&lt;&gt;34500,Z25&lt;&gt;"BANDEJA"),CONCATENATE(AN25,"x[",L25,"x(1x",AM25,")] + ",IF(BD25="No","",CONCATENATE(" ",AN25,"x(",BC25,"Nx",BD25,") + ")),IF(ISERROR(VLOOKUP(D25,'H4-CANALIZACIONES'!$C$28:$AN$40,COLUMN('H4-CANALIZACIONES'!#REF!),FALSE))=TRUE,'H4-CANALIZACIONES'!AO34,VLOOKUP(D25,'H4-CANALIZACIONES'!$C$28:$AN$40,COLUMN('H4-CANALIZACIONES'!#REF!),FALSE)),"x(",IF(BB25="No",1,BA25),"Gx",(IF(AQ25="Al",IF(AW25="Motor Alimentado de VFD",VLOOKUP(AM25,CONDUCTORES!$H$84:$J$98,3,FALSE),IF(BB25="No",LOOKUP(S25,CONDUCTORES!$A$111:$A$131,CONDUCTORES!$C$111:$C$131),BB25)),IF(AW25="Motor Alimentado de VFD",VLOOKUP(AM25,CONDUCTORES!$H$84:$J$98,3,FALSE),IF(BB25="No",LOOKUP(S25,CONDUCTORES!$A$111:$A$131,CONDUCTORES!$B$111:$B$131),BB25)))),")"),IF(K25=34500,CONCATENATE(AN25,"x[",L25,"x(1x",AM25,")]"),IF(AND(AY25="SI"),CONCATENATE(AN25,"x[",IF(AO25="Monopolar",L25,MID(AP25,1,1)),"x(1x",AM25,")] + ",IF(BD25="No","",CONCATENATE(" ",AN25,"x(",BC25,"Nx",BD25,") + ")),1,"x(",IF(BB25="No",1,BA25),"Gx",(IF(AQ25="Al",IF(AW25="Motor Alimentado de VFD",VLOOKUP(AM25,CONDUCTORES!$H$84:$J$98,3,FALSE),IF(BB25="No",LOOKUP(S25,CONDUCTORES!$A$111:$A$131,CONDUCTORES!$C$111:$C$131),BB25)),IF(AW25="Motor Alimentado de VFD",VLOOKUP(AM25,CONDUCTORES!$H$84:$J$98,3,FALSE),IF(BB25="No",LOOKUP(S25,CONDUCTORES!$A$111:$A$131,CONDUCTORES!$B$111:$B$131),BB25)))),")"),CONCATENATE(AN25,"x(",IF(AO25="Monopolar",L25,MID(AP25,1,1)),"x",AM25,")"))))))))))</f>
        <v>1x[3x(1x1/0 AWG)] + 1x(1Gx4 AWG)</v>
      </c>
      <c r="X25" s="1062" t="str">
        <f>IF(AND(AN25&gt;=2,OR(AM25="12 AWG",AM25="10 AWG",AM25="8 AWG",AM25="6 AWG",AM25="4 AWG",AM25="2 AWG")),"NO SE PERMITEN "&amp;AN25&amp;" CONDUCTORES DE "&amp;AM25&amp;"",""&amp;IF(AN25=1,"",IF(AN25=2,"1/2-",IF(AN25=3,"1/2/3-",IF(AN25=4,"1/2/3/4-",IF(AN25=5,"1/2/3/4/5-",IF(AN25=6,"1/2/3/4/5/6-",IF(AN25=7,"1/2/3/4/5/6/7-",IF(AN25=8,"1/2/3/4/5/6/7/8-",IF(AN25=9,"1/2/3/4/5/6/7/8/9-","1/2/3/4/5/6/7/8/9/10-")))))))))&amp;""&amp;IF(MID(D25,1,1)="H","H",IF(MID(D25,1,3)="ILU","A","P"))&amp;"-"&amp;IF(OR(AND(AO25="Monopolar",AY25="SI"),AND(AO25="Multiconductor",AP25="4/C  -")),"06",IF(AND(AO25="Monopolar",AY25="No"),"05",IF(AND(AO25="Multiconductor",AP25="3/C  -",AY25="No"),IF(AW25="Motor Alimentado de VFD","06",IF(AND(AO25="Multiconductor",AP25="2/C  -",AY25="No"),"01",IF(AW25="Otra Carga","02","04"))))))&amp;"-"&amp;VLOOKUP(K25,'CODIFICACIÓN ECO'!$F$5:$G$21,2,FALSE)&amp;"-"&amp;D25&amp;"")</f>
        <v>P-06-08-VFD-DT-97</v>
      </c>
      <c r="Y25" s="1061">
        <f>IF(Z25="AÉREO",LOOKUP(BU25,CONDUCTORES!$A$156:$A$161,CONDUCTORES!$P$156:$P$161),IF(AND(Z25="BANDEJA",AQ25="Cu",OR(AV25=0,AV25=1)),LOOKUP(BU25,CONDUCTORES!$A$9:$A$62,CONDUCTORES!$M$9:$M$62),IF(AND(OR(Z25="BANCO DE DUCTOS",Z25="TUBO"),AQ25="Cu"),LOOKUP(BU25,CONDUCTORES!$A$9:$A$62,CONDUCTORES!$L$9:$L$62),IF(AND(Z25="BANDEJA",AQ25="Al",OR(AV25=0,AV25=1)),LOOKUP(BU25,CONDUCTORES!$A$9:$A$62,CONDUCTORES!$P$9:$P$62),IF(AND(OR(Z25="BANCO DE DUCTOS",Z25="TUBO"),AQ25="Al"),LOOKUP(BU25,CONDUCTORES!$A$9:$A$62,CONDUCTORES!$O$9:$O$62),IF(AND(Z25="BANDEJA",AQ25="Cu",AV25=2.15),LOOKUP(BU25,CONDUCTORES!$A$9:$A$62,CONDUCTORES!$N$9:$N$62),IF(AND(Z25="BANDEJA",AQ25="Al",AV25=2.15),LOOKUP(BU25,CONDUCTORES!$A$9:$A$62,CONDUCTORES!$Q$9:$Q$62),"")))))))</f>
        <v>135</v>
      </c>
      <c r="Z25" s="1062" t="s">
        <v>596</v>
      </c>
      <c r="AA25" s="1061">
        <f>IF(ISERROR(VLOOKUP(D25,'H4-CANALIZACIONES'!$C$2:$AN$36,3,FALSE))=TRUE,(IF(AO25="Multiconductor",IF(AW25="Motor Alimentado de VFD",3,IF(K25=120,1,(MID(AP25,1,1))-1)),L25)),IF(MOD(MID(W25,1,1),IF(VLOOKUP(D25,'H4-CANALIZACIONES'!$C$2:$AN$36,COLUMN('H4-CANALIZACIONES'!Y11),FALSE)="--",1,VLOOKUP(D25,'H4-CANALIZACIONES'!$C$26:$AN$36,COLUMN('H4-CANALIZACIONES'!Y11),FALSE)))=0,(MID(W25,1,1)/IF(VLOOKUP(D25,'H4-CANALIZACIONES'!$C$2:$AN$36,COLUMN('H4-CANALIZACIONES'!Y11),FALSE)="--",1,VLOOKUP(D25,'H4-CANALIZACIONES'!$C$26:$AN$36,COLUMN('H4-CANALIZACIONES'!Y11),FALSE)))*(IF(AO25="Multiconductor",IF(AW25="Motor Alimentado de VFD",3,IF(K25=120,1,(MID(AP25,1,1))-1)),L25)),"NO"))</f>
        <v>3</v>
      </c>
      <c r="AB25" s="1056">
        <f t="shared" si="24"/>
        <v>1</v>
      </c>
      <c r="AC25" s="1063" t="s">
        <v>597</v>
      </c>
      <c r="AD25" s="1064">
        <f t="shared" si="25"/>
        <v>1</v>
      </c>
      <c r="AE25" s="1059">
        <f t="shared" si="41"/>
        <v>135</v>
      </c>
      <c r="AF25" s="1065">
        <f t="shared" si="26"/>
        <v>6.6977864542256946E-2</v>
      </c>
      <c r="AG25" s="1065">
        <f t="shared" si="3"/>
        <v>2.2571555364524269</v>
      </c>
      <c r="AH25" s="1065">
        <f t="shared" si="27"/>
        <v>0.99875233887784465</v>
      </c>
      <c r="AI25" s="831" t="str">
        <f t="shared" si="28"/>
        <v>SI</v>
      </c>
      <c r="AJ25" s="832" t="str">
        <f t="shared" si="29"/>
        <v>NO</v>
      </c>
      <c r="AK25" s="812">
        <f>SQRT((IF(AQ25="Cu",0.0297,0.0125))*LOG10((150+(IF(AQ25="Cu",234,228)))/(90+(IF(AQ25="Cu",234,228))))/U25)*LOOKUP(BU25,CONDUCTORES!$A$9:$A$62,CONDUCTORES!$W$9:$W$62)</f>
        <v>22.745745819268617</v>
      </c>
      <c r="AL25" s="758">
        <v>35</v>
      </c>
      <c r="AM25" s="548" t="s">
        <v>598</v>
      </c>
      <c r="AN25" s="548">
        <v>1</v>
      </c>
      <c r="AO25" s="548" t="s">
        <v>599</v>
      </c>
      <c r="AP25" s="548" t="s">
        <v>645</v>
      </c>
      <c r="AQ25" s="341" t="s">
        <v>601</v>
      </c>
      <c r="AR25" s="341" t="s">
        <v>97</v>
      </c>
      <c r="AS25" s="548">
        <v>1</v>
      </c>
      <c r="AT25" s="548">
        <v>1</v>
      </c>
      <c r="AU25" s="548" t="s">
        <v>613</v>
      </c>
      <c r="AV25" s="548">
        <v>1</v>
      </c>
      <c r="AW25" s="549" t="s">
        <v>657</v>
      </c>
      <c r="AX25" s="548">
        <v>5</v>
      </c>
      <c r="AY25" s="550" t="s">
        <v>175</v>
      </c>
      <c r="AZ25" s="547">
        <f>((( IF(L25=1,K25, (K25/SQRT(3))  )     /((((VLOOKUP(AM25,CONDUCTORES!$L$83:$N$97,IF(AQ25="Al",2,3),FALSE))/(AN25))*(G25/1000))+(((VLOOKUP(IF(BB25="No",IF(AO25="Multiconductor",AM25,(IF(AQ25="Al",LOOKUP(S25,CONDUCTORES!$A$111:$A$131,CONDUCTORES!$C$111:$C$131),LOOKUP(S25,CONDUCTORES!$A$111:$A$131,CONDUCTORES!$B$111:$B$131)))),BB25),CONDUCTORES!$L$83:$N$97,IF(AQ25="Al",2,3),FALSE))/IF(BB25="No",1,BA25))*(G25/1000))))/1000)/(S25))*1000</f>
        <v>283.81050429678913</v>
      </c>
      <c r="BA25" s="548">
        <f t="shared" ref="BA25:BA26" si="64">+AN25</f>
        <v>1</v>
      </c>
      <c r="BB25" s="548" t="s">
        <v>810</v>
      </c>
      <c r="BC25" s="548">
        <v>1</v>
      </c>
      <c r="BD25" s="548" t="s">
        <v>605</v>
      </c>
      <c r="BE25" s="565">
        <f>BG25*((IF(Z25="BANDEJA",1,VLOOKUP(AA25,'% PORTADORES I'!$A$2:$B$42,2,FALSE)))*(IF(Z25="AÉREO",LOOKUP(BV25,CONDUCTORES!$A$156:$A$161,CONDUCTORES!$P$156:$P$161),IF(AND(Z25="BANDEJA",OR(AV25=0,AV25=1)),IF(BH25="Cu",LOOKUP(BV25,CONDUCTORES!$A$9:$A$62,CONDUCTORES!$M$9:$M$62),LOOKUP(BV25,CONDUCTORES!$A$9:$A$62,CONDUCTORES!$P$9:$P$62)),IF(OR(Z25="BANCO DE DUCTOS",Z25="TUBO"),IF(BH25="Cu",LOOKUP(BV25,CONDUCTORES!$A$9:$A$62,CONDUCTORES!$L$9:$L$62),LOOKUP(BV25,CONDUCTORES!$A$9:$A$62,CONDUCTORES!$O$9:$O$62)),IF(AND(Z25="BANDEJA",AV25=2.15),IF(BH25="Cu",LOOKUP(BV25,CONDUCTORES!$A$9:$A$62,CONDUCTORES!$N$9:$N$62),LOOKUP(BV25,CONDUCTORES!$A$9:$A$62,CONDUCTORES!$Q$9:$Q$62))))))))*AD25*AB25</f>
        <v>135</v>
      </c>
      <c r="BF25" s="548" t="str">
        <f t="shared" si="14"/>
        <v>1/0 AWG</v>
      </c>
      <c r="BG25" s="548">
        <f t="shared" si="11"/>
        <v>1</v>
      </c>
      <c r="BH25" s="341" t="s">
        <v>601</v>
      </c>
      <c r="BI25" s="641" t="str">
        <f t="shared" si="30"/>
        <v>1/C  -</v>
      </c>
      <c r="BJ25" s="618">
        <f>IF(Z25="AÉREO",LOOKUP(BU25,CONDUCTORES!$A$156:$A$161,CONDUCTORES!$D$156:$D$161),LOOKUP(BU25,CONDUCTORES!$A$9:$A$62,CONDUCTORES!$D$9:$D$62))</f>
        <v>12.24</v>
      </c>
      <c r="BK25" s="621">
        <f>LOOKUP(BU25,CONDUCTORES!$A$9:$A$62,CONDUCTORES!$R$9:$R$62)</f>
        <v>20</v>
      </c>
      <c r="BL25" s="619">
        <f>IF(AQ25="Cu",LOOKUP(BU25,CONDUCTORES!$A$9:$A$62,CONDUCTORES!$H$9:$H$62),IF(AQ25="Al",LOOKUP(BU25,CONDUCTORES!$A$9:$A$62,CONDUCTORES!$J$9:$J$62),"Err Material"))</f>
        <v>0.68847200000000008</v>
      </c>
      <c r="BM25" s="619">
        <f>LOOKUP(BU25,CONDUCTORES!$A$9:$A$62,CONDUCTORES!$I$9:$I$62)</f>
        <v>0.18044619422572178</v>
      </c>
      <c r="BN25" s="620">
        <f t="shared" si="31"/>
        <v>135</v>
      </c>
      <c r="BO25" s="625">
        <f t="shared" si="32"/>
        <v>1</v>
      </c>
      <c r="BP25" s="620" t="str">
        <f>IF(BR25&gt;Q25,Listas!C$2,Listas!C$3)</f>
        <v>Si</v>
      </c>
      <c r="BQ25" s="620" t="str">
        <f>IF(AF25&lt;$BQ$12*100,Listas!C$2,Listas!C$3)</f>
        <v>Si</v>
      </c>
      <c r="BR25" s="621">
        <f>AN25*((IF(Z25="BANDEJA",1,VLOOKUP(AA25,'% PORTADORES I'!$A$2:$B$42,2,FALSE)))*(Y25))*AD25*AB25</f>
        <v>135</v>
      </c>
      <c r="BS25" s="621">
        <f t="shared" si="33"/>
        <v>70.603004313676664</v>
      </c>
      <c r="BT25" s="642" t="str">
        <f t="shared" si="34"/>
        <v>1/0 AWG</v>
      </c>
      <c r="BU25" s="622">
        <f>IF(AO25="Monopolar",VLOOKUP(AM25,CONDUCTORES!$B$9:$X$23,23,FALSE),IF(AND(AM25="12 AWG",AO25="Multiconductor",AP25="2/C  -"),16,IF(AND(AM25="12 AWG",AO25="Multiconductor",AP25="3/C  -"),17,IF(AND(AM25="12 AWG",AO25="Multiconductor",AP25="4/C  -"),18,IF(AND(AM25="10 AWG",AO25="Multiconductor",AP25="2/C  -"),19,IF(AND(AM25="10 AWG",AO25="Multiconductor",AP25="3/C  -"),20,IF(AND(AM25="10 AWG",AO25="Multiconductor",AP25="4/C  -"),21,IF(AND(AM25="8 AWG",AO25="Multiconductor",AP25="2/C  -"),22,IF(AND(AM25="8 AWG",AO25="Multiconductor",AP25="3/C  -"),23,IF(AND(AM25="8 AWG",AO25="Multiconductor",AP25="4/C  -"),24,IF(AND(AM25="6 AWG",AO25="Multiconductor",AP25="2/C  -"),25,IF(AND(AM25="6 AWG",AO25="Multiconductor",AP25="3/C  -"),26,IF(AND(AM25="6 AWG",AO25="Multiconductor",AP25="4/C  -"),27,IF(AND(AM25="4 AWG",AO25="Multiconductor",AP25="2/C  -"),28,IF(AND(AM25="4 AWG",AO25="Multiconductor",AP25="3/C  -"),29,IF(AND(AM25="4 AWG",AO25="Multiconductor",AP25="4/C  -"),30,IF(AND(AM25="2 AWG",AO25="Multiconductor",AP25="2/C  -"),31,IF(AND(AM25="2 AWG",AO25="Multiconductor",AP25="3/C  -"),32,IF(AND(AM25="2 AWG",AO25="Multiconductor",AP25="4/C  -"),33,IF(AND(AM25="1/0 AWG",AO25="Multiconductor",AP25="2/C  -"),34,IF(AND(AM25="1/0 AWG",AO25="Multiconductor",AP25="3/C  -"),35,IF(AND(AM25="1/0 AWG",AO25="Multiconductor",AP25="4/C  -"),36,IF(AND(AM25="2/0 AWG",AO25="Multiconductor",AP25="2/C  -"),37,IF(AND(AM25="2/0 AWG",AO25="Multiconductor",AP25="3/C  -"),38,IF(AND(AM25="2/0 AWG",AO25="Multiconductor",AP25="4/C  -"),39,IF(AND(AM25="3/0 AWG",AO25="Multiconductor",AP25="2/C  -"),40,IF(AND(AM25="3/0 AWG",AO25="Multiconductor",AP25="3/C  -"),41,IF(AND(AM25="3/0 AWG",AO25="Multiconductor",AP25="4/C  -"),42,IF(AND(AM25="4/0 AWG",AO25="Multiconductor",AP25="2/C  -"),43,IF(AND(AM25="4/0 AWG",AO25="Multiconductor",AP25="3/C  -"),44,IF(AND(AM25="4/0 AWG",AO25="Multiconductor",AP25="4/C  -"),45,IF(AND(AM25="250 kcmil",AO25="Multiconductor",AP25="2/C  -"),46,IF(AND(AM25="250 kcmil",AO25="Multiconductor",AP25="3/C  -"),47,IF(AND(AM25="250 kcmil",AO25="Multiconductor",AP25="4/C  -"),48,IF(AND(AM25="350 kcmil",AO25="Multiconductor",AP25="2/C  -"),49,IF(AND(AM25="350 kcmil",AO25="Multiconductor",AP25="3/C  -"),50,IF(AND(AM25="350 kcmil",AO25="Multiconductor",AP25="4/C  -"),51,IF(AND(AM25="500 kcmil",AO25="Multiconductor",AP25="2/C  -"),52,IF(AND(AM25="500 kcmil",AO25="Multiconductor",AP25="3/C  -"),53,IF(AND(AM25="500 kcmil",AO25="Multiconductor",AP25="4/C  -"),54,FALSE))))))))))))))))))))))))))))))))))))))))</f>
        <v>7</v>
      </c>
      <c r="BV25" s="622">
        <f>IF(AO25="Monopolar",VLOOKUP(BF25,CONDUCTORES!$B$9:$X$23,23,FALSE),IF(AND(BF25="12 AWG",AO25="Multiconductor",AP25="2/C  -"),16,IF(AND(BF25="12 AWG",AO25="Multiconductor",AP25="3/C  -"),17,IF(AND(BF25="12 AWG",AO25="Multiconductor",AP25="4/C  -"),18,IF(AND(BF25="10 AWG",AO25="Multiconductor",AP25="2/C  -"),19,IF(AND(BF25="10 AWG",AO25="Multiconductor",AP25="3/C  -"),20,IF(AND(BF25="10 AWG",AO25="Multiconductor",AP25="4/C  -"),21,IF(AND(BF25="8 AWG",AO25="Multiconductor",AP25="2/C  -"),22,IF(AND(BF25="8 AWG",AO25="Multiconductor",AP25="3/C  -"),23,IF(AND(BF25="8 AWG",AO25="Multiconductor",AP25="4/C  -"),24,IF(AND(BF25="6 AWG",AO25="Multiconductor",AP25="2/C  -"),25,IF(AND(BF25="6 AWG",AO25="Multiconductor",AP25="3/C  -"),26,IF(AND(BF25="6 AWG",AO25="Multiconductor",AP25="4/C  -"),27,IF(AND(BF25="4 AWG",AO25="Multiconductor",AP25="2/C  -"),28,IF(AND(BF25="4 AWG",AO25="Multiconductor",AP25="3/C  -"),29,IF(AND(BF25="4 AWG",AO25="Multiconductor",AP25="4/C  -"),30,IF(AND(BF25="2 AWG",AO25="Multiconductor",AP25="2/C  -"),31,IF(AND(BF25="2 AWG",AO25="Multiconductor",AP25="3/C  -"),32,IF(AND(BF25="2 AWG",AO25="Multiconductor",AP25="4/C  -"),33,IF(AND(BF25="1/0 AWG",AO25="Multiconductor",AP25="2/C  -"),34,IF(AND(BF25="1/0 AWG",AO25="Multiconductor",AP25="3/C  -"),35,IF(AND(BF25="1/0 AWG",AO25="Multiconductor",AP25="4/C  -"),36,IF(AND(BF25="2/0 AWG",AO25="Multiconductor",AP25="2/C  -"),37,IF(AND(BF25="2/0 AWG",AO25="Multiconductor",AP25="3/C  -"),38,IF(AND(BF25="2/0 AWG",AO25="Multiconductor",AP25="4/C  -"),39,IF(AND(BF25="3/0 AWG",AO25="Multiconductor",AP25="2/C  -"),40,IF(AND(BF25="3/0 AWG",AO25="Multiconductor",AP25="3/C  -"),41,IF(AND(BF25="3/0 AWG",AO25="Multiconductor",AP25="4/C  -"),42,IF(AND(BF25="4/0 AWG",AO25="Multiconductor",AP25="2/C  -"),43,IF(AND(BF25="4/0 AWG",AO25="Multiconductor",AP25="3/C  -"),44,IF(AND(BF25="4/0 AWG",AO25="Multiconductor",AP25="4/C  -"),45,IF(AND(BF25="250 kcmil",AO25="Multiconductor",AP25="2/C  -"),46,IF(AND(BF25="250 kcmil",AO25="Multiconductor",AP25="3/C  -"),47,IF(AND(BF25="250 kcmil",AO25="Multiconductor",AP25="4/C  -"),48,IF(AND(BF25="350 kcmil",AO25="Multiconductor",AP25="2/C  -"),49,IF(AND(BF25="350 kcmil",AO25="Multiconductor",AP25="3/C  -"),50,IF(AND(BF25="350 kcmil",AO25="Multiconductor",AP25="4/C  -"),51,IF(AND(BF25="500 kcmil",AO25="Multiconductor",AP25="2/C  -"),52,IF(AND(BF25="500 kcmil",AO25="Multiconductor",AP25="3/C  -"),53,IF(AND(BF25="500 kcmil",AO25="Multiconductor",AP25="4/C  -"),54,FALSE))))))))))))))))))))))))))))))))))))))))</f>
        <v>7</v>
      </c>
      <c r="BW25" s="623">
        <f t="shared" si="35"/>
        <v>0.52298521713834567</v>
      </c>
      <c r="BX25" s="624">
        <f t="shared" si="36"/>
        <v>1</v>
      </c>
      <c r="BY25" s="625">
        <f t="shared" si="37"/>
        <v>0.6</v>
      </c>
      <c r="BZ25" s="625">
        <f t="shared" si="38"/>
        <v>1</v>
      </c>
      <c r="CA25" s="626">
        <f>IF(AS25&gt;4,"# FILAS Fuera de rango",IF(AT25&gt;15,"#COLUMNAS Fuera de rango",IF(BU25=0,"CALIBRE CABLE CERO",IF(OR(BU25=1,BU25=16,BU25=17,BU25=18),INDEX('0-5000'!$D$4:$R$7,AS25,AT25),IF(OR(BU25=2,BU25=19,BU25=20,BU25=21),INDEX('0-5000'!$D$8:$R$11,AS25,AT25),IF(OR(BU25=3,BU25=22,BU25=23,BU25=24),INDEX('0-5000'!$D$12:$R$15,AS25,AT25),IF(OR(BU25=4,BU25=25,BU25=26,BU25=27),INDEX('0-5000'!$D$16:$R$19,AS25,AT25),CB25)))))))</f>
        <v>1</v>
      </c>
      <c r="CB25" s="627">
        <f>IF(OR(BU25=1,BU25=16,BU25=17,BU25=18),INDEX('0-5000'!$D$4:$R$7,AS25,AT25),IF(OR(BU25=2,BU25=19,BU25=20,BU25=21),INDEX('0-5000'!$D$8:$R$11,AS25,AT25),IF(OR(BU25=3,BU25=22,BU25=23,BU25=24),INDEX('0-5000'!$D$12:$R$15,AS25,AT25),IF(OR(BU25=4,BU25=25,BU25=26,BU25=27),INDEX('0-5000'!$D$18:$R$19,AS25,AT25),IF(OR(BU25=5,BU25=28,BU25=29,BU25=30),INDEX('0-5000'!$D$20:$R$23,AS25,AT25),IF(OR(BU25=6,BU25=31,BU25=32,BU25=33),INDEX('0-5000'!$D$24:$R$27,AS25,AT25),IF(OR(BU25=7,BU25=34,BU25=35,BU25=36),INDEX('0-5000'!$D$32:$R$35,AS25,AT25),IF(OR(BU25=8,BU25=37,BU25=38,BU25=39),INDEX('0-5000'!$D$36:$R$39,AS25,AT25),IF(OR(BU25=9,BU25=40,BU25=41,BU25=42),INDEX('0-5000'!$D$40:$R$43,AS25,AT25),IF(OR(BU25=10,BU25=43,BU25=44,BU25=45),INDEX('0-5000'!$D$44:$R$47,AS25,AT25),IF(OR(BU25=11,BU25=46,BU25=47,BU25=48),INDEX('0-5000'!$D$48:$R$51,AS25,AT25),IF(OR(BU25=12,BU25=49,BU25=50,BU25=51),INDEX('0-5000'!$D$52:$R$55,AS25,AT25),IF(OR(BU25=13,BU25=52,BU25=53,BU25=54),INDEX('0-5000'!$D$56:$R$59,AS25,AT25),IF(OR(BU25=14,BU25=55,BU25=56,BU25=57),INDEX('0-5000'!$D$60:$R$63,AS25,AT25),IF(BU25=15,INDEX('0-5000'!$D$64:$R$67,AS25,AT25),"# CABLE Fuera de Rango")))))))))))))))</f>
        <v>1</v>
      </c>
      <c r="CC25" s="643">
        <f>VLOOKUP($AC25,Listas!$A$20:$B$29,2,FALSE)</f>
        <v>1</v>
      </c>
      <c r="CD25" s="616">
        <f t="shared" si="39"/>
        <v>2</v>
      </c>
    </row>
    <row r="26" spans="2:82" ht="34.799999999999997" customHeight="1" x14ac:dyDescent="0.25">
      <c r="B26" s="338">
        <f>+IF(OR(CD26=0,CD26=1),0,COUNTIF(CD$15:CD26,CD26))</f>
        <v>9</v>
      </c>
      <c r="C26" s="819" t="str">
        <f>+_xlfn.CONCAT($C$17,".",SUBTOTAL(103,$D$18:D26))</f>
        <v>2.1.9</v>
      </c>
      <c r="D26" s="820" t="str">
        <f>+Longitudes!C18</f>
        <v>PCP-DT-97</v>
      </c>
      <c r="E26" s="821" t="s">
        <v>2001</v>
      </c>
      <c r="F26" s="1040" t="str">
        <f>+Longitudes!B18</f>
        <v>VFD-DT-97</v>
      </c>
      <c r="G26" s="1311">
        <f>+Longitudes!L18</f>
        <v>35</v>
      </c>
      <c r="H26" s="828"/>
      <c r="I26" s="1389">
        <f>I25</f>
        <v>46.9</v>
      </c>
      <c r="J26" s="829" t="s">
        <v>595</v>
      </c>
      <c r="K26" s="827">
        <v>480</v>
      </c>
      <c r="L26" s="827">
        <v>3</v>
      </c>
      <c r="M26" s="830">
        <f>+'H1-CUADRO DE CARGAS'!$M$12</f>
        <v>0.79600000000000004</v>
      </c>
      <c r="N26" s="830">
        <f>+'H1-CUADRO DE CARGAS'!$O$12</f>
        <v>0.94099999999999995</v>
      </c>
      <c r="O26" s="1045">
        <f>(IF(L26=1,IF(J26="HP",(I26*746)/(K26*M26),IF(J26="kVA",I26*1000/K26,IF(J26="kW",I26*1000/(K26*M26),""))),IF(L26=3,IF(J26="HP",IF(OR(K26=4160,K26=34500),((I26*0.746)/M26)*1000/(SQRT(3)*K26*N26),IF(AND(K26&lt;=480,K26&gt;=440),VLOOKUP(I26,'I Plena Carga'!$C$3:$I$29,7),IF(AND(K26&lt;=240,K26&gt;=220),VLOOKUP(I26,'I Plena Carga'!$C$3:$G$29,5),IF(K26=208,VLOOKUP(I26,'I Plena Carga'!$C$3:$F$29,4),IF(AND(K26&lt;=127,K26&gt;=110),VLOOKUP(I26,'I Plena Carga'!$C$3:$D$29,2),""))))),IF(J26="kVA",I26*1000/(SQRT(3)*K26),IF(J26="kW",I26*1000/(SQRT(3)*K26*M26),""))),IF(L26=2,IF(J26="HP",(I26*746)/(K26*M26),IF(J26="kVA",I26*1000/(K26),IF(J26="kW",I26*1000/(K26*M26),""))),"Rev.#Fases"))))*(SQRT(1+((AX26/100)^2)))</f>
        <v>56.482403450941327</v>
      </c>
      <c r="P26" s="1046" t="str">
        <f t="shared" si="21"/>
        <v>N/A</v>
      </c>
      <c r="Q26" s="1047">
        <f t="shared" si="22"/>
        <v>70.603004313676664</v>
      </c>
      <c r="R26" s="1047">
        <f t="shared" si="40"/>
        <v>80</v>
      </c>
      <c r="S26" s="1047">
        <f>(IF((IF(OR(AW26="Trafo Primario",AW26="Trafo Primario - Secundario",AW26="Protección Tablero"),BS26,Q26))&lt;CONDUCTORES!$E$111,CONDUCTORES!$E$111,IF((IF(OR(AW26="Trafo Primario",AW26="Trafo Primario - Secundario",AW26="Protección Tablero"),BS26,Q26))&lt;CONDUCTORES!$E$112,CONDUCTORES!$E$112,IF((IF(OR(AW26="Trafo Primario",AW26="Trafo Primario - Secundario",AW26="Protección Tablero"),BS26,Q26))&lt;CONDUCTORES!$E$113,CONDUCTORES!$E$113,IF((IF(OR(AW26="Trafo Primario",AW26="Trafo Primario - Secundario",AW26="Protección Tablero"),BS26,Q26))&lt;CONDUCTORES!$E$114,CONDUCTORES!$E$114,IF((IF(OR(AW26="Trafo Primario",AW26="Trafo Primario - Secundario",AW26="Protección Tablero"),BS26,Q26))&lt;CONDUCTORES!$E$115,CONDUCTORES!$E$115,IF((IF(OR(AW26="Trafo Primario",AW26="Trafo Primario - Secundario",AW26="Protección Tablero"),BS26,Q26))&lt;CONDUCTORES!$E$116,CONDUCTORES!$E$116,IF((IF(OR(AW26="Trafo Primario",AW26="Trafo Primario - Secundario",AW26="Protección Tablero"),BS26,Q26))&lt;CONDUCTORES!$E$117,CONDUCTORES!$E$117,IF((IF(OR(AW26="Trafo Primario",AW26="Trafo Primario - Secundario",AW26="Protección Tablero"),BS26,Q26))&lt;CONDUCTORES!$E$118,CONDUCTORES!$E$118,IF((IF(OR(AW26="Trafo Primario",AW26="Trafo Primario - Secundario",AW26="Protección Tablero"),BS26,Q26))&lt;CONDUCTORES!$E$119,CONDUCTORES!$E$119,IF((IF(OR(AW26="Trafo Primario",AW26="Trafo Primario - Secundario",AW26="Protección Tablero"),BS26,Q26))&lt;CONDUCTORES!$E$120,CONDUCTORES!$E$120,IF((IF(OR(AW26="Trafo Primario",AW26="Trafo Primario - Secundario",AW26="Protección Tablero"),BS26,Q26))&lt;CONDUCTORES!$E$121,CONDUCTORES!$E$121,IF((IF(AND(AW26="Trafo Primario",AW26="Trafo Primario - Secundario",AW26="Protección Tablero"),BS26,Q26))&lt;CONDUCTORES!$E$122,CONDUCTORES!$E$122,IF((IF(OR(AW26="Trafo Primario",AW26="Trafo Primario - Secundario",AW26="Protección Tablero"),BS26,Q26))&lt;CONDUCTORES!$E$123,CONDUCTORES!$E$123,IF((IF(OR(AW26="Trafo Primario",AW26="Trafo Primario - Secundario",AW26="Protección Tablero"),BS26,Q26))&lt;CONDUCTORES!$E$124,CONDUCTORES!$E$124,IF((IF(OR(AW26="Trafo Primario",AW26="Trafo Primario - Secundario",AW26="Protección Tablero"),BS26,Q26))&lt;CONDUCTORES!$E$125,CONDUCTORES!$E$125,IF((IF(OR(AW26="Trafo Primario",AW26="Trafo Primario - Secundario",AW26="Protección Tablero"),BS26,Q26))&lt;CONDUCTORES!$E$126,CONDUCTORES!$E$126,IF((IF(OR(AW26="Trafo Primario",AW26="Trafo Primario - Secundario",AW26="Protección Tablero"),BS26,Q26))&lt;CONDUCTORES!$E$127,CONDUCTORES!$E$127,IF((IF(OR(AW26="Trafo Primario",AW26="Trafo Primario - Secundario",AW26="Protección Tablero"),BS26,Q26))&lt;CONDUCTORES!$E$128,CONDUCTORES!$E$128,IF((IF(OR(AW26="Trafo Primario",AW26="Trafo Primario - Secundario",AW26="Protección Tablero"),BS26,Q26))&lt;CONDUCTORES!$E$129,CONDUCTORES!$E$129,IF((IF(OR(AW26="Trafo Primario",AW26="Trafo Primario - Secundario",AW26="Protección Tablero"),BS26,Q26))&lt;CONDUCTORES!$E$130,CONDUCTORES!$E$130,IF((IF(OR(AW26="Trafo Primario",AW26="Trafo Primario - Secundario",AW26="Protección Tablero"),BS26,Q26))&lt;CONDUCTORES!$E$131,CONDUCTORES!$E$131,IF((IF(OR(AW26="Trafo Primario",AW26="Trafo Primario - Secundario",AW26="Protección Tablero"),BS26,Q26))&lt;CONDUCTORES!$E$132,CONDUCTORES!$E$132,IF((IF(OR(AW26="Trafo Primario",AW26="Trafo Primario - Secundario",AW26="Protección Tablero"),BS26,Q26))&lt;CONDUCTORES!$E$133,CONDUCTORES!$E$133,IF((IF(OR(AW26="Trafo Primario",AW26="Trafo Primario - Secundario",AW26="Protección Tablero"),BS26,Q26))&lt;CONDUCTORES!$E$134,CONDUCTORES!$E$134,IF((IF(OR(AW26="Trafo Primario",AW26="Trafo Primario - Secundario",AW26="Protección Tablero"),BS26,Q26))&lt;CONDUCTORES!$E$135,CONDUCTORES!$E$135,IF((IF(OR(AW26="Trafo Primario",AW26="Trafo Primario - Secundario",AW26="Protección Tablero"),BS26,Q26))&lt;CONDUCTORES!$E$136,CONDUCTORES!$E$136,IF((IF(OR(AW26="Trafo Primario",AW26="Trafo Primario - Secundario",AW26="Protección Tablero"),BS26,Q26))&lt;CONDUCTORES!$E$137,CONDUCTORES!$E$137,IF((IF(OR(AW26="Trafo Primario",AW26="Trafo Primario - Secundario",AW26="Protección Tablero"),BS26,Q26))&lt;CONDUCTORES!$E$138,CONDUCTORES!$E$138,IF((IF(OR(AW26="Trafo Primario",AW26="Trafo Primario - Secundario",AW26="Protección Tablero"),BS26,Q26))&lt;CONDUCTORES!$E$139,CONDUCTORES!$E$139,IF((IF(OR(AW26="Trafo Primario",AW26="Trafo Primario - Secundario",AW26="Protección Tablero"),BS26,Q26))&lt;CONDUCTORES!$E$140,CONDUCTORES!$E$140,IF((IF(OR(AW26="Trafo Primario",AW26="Trafo Primario - Secundario",AW26="Protección Tablero"),BS26,Q26))&lt;CONDUCTORES!$E$141,CONDUCTORES!$E$141,IF((IF(OR(AW26="Trafo Primario",AW26="Trafo Primario - Secundario",AW26="Protección Tablero"),BS26,Q26))&lt;CONDUCTORES!$E$142,CONDUCTORES!$E$142,IF((IF(OR(AW26="Trafo Primario",AW26="Trafo Primario - Secundario",AW26="Protección Tablero"),BS26,Q26))&lt;CONDUCTORES!$E$143,CONDUCTORES!$E$143,IF((IF(OR(AW26="Trafo Primario",AW26="Trafo Primario - Secundario",AW26="Protección Tablero"),BS26,Q26))&lt;CONDUCTORES!$E$144,CONDUCTORES!$E$144,IF((IF(OR(AW26="Trafo Primario",AW26="Trafo Primario - Secundario",AW26="Protección Tablero"),BS26,Q26))&lt;CONDUCTORES!$E$145,CONDUCTORES!$E$145,IF((IF(OR(AW26="Trafo Primario",AW26="Trafo Primario - Secundario",AW26="Protección Tablero"),BS26,Q26))&lt;CONDUCTORES!$E$146,CONDUCTORES!$E$146,IF((IF(OR(AW26="Trafo Primario",AW26="Trafo Primario - Secundario",AW26="Protección Tablero"),BS26,Q26))&lt;CONDUCTORES!$E$147,CONDUCTORES!$E$147,IF((IF(OR(AW26="Trafo Primario",AW26="Trafo Primario - Secundario",AW26="Protección Tablero"),BS26,Q26))&lt;CONDUCTORES!$E$148,CONDUCTORES!$E$148,IF((IF(OR(AW26="Trafo Primario",AW26="Trafo Primario - Secundario",AW26="Protección Tablero"),BS26,Q26))&lt;CONDUCTORES!$E$149,CONDUCTORES!$E$149,))))))))))))))))))))))))))))))))))))))))</f>
        <v>80</v>
      </c>
      <c r="T26" s="1048">
        <f>IF(AZ26&lt;10,CONCATENATE(ROUND(((IF(L26=1,K26,K26/SQRT(3)))/((((VLOOKUP(AM26,CONDUCTORES!$L$83:$N$97,IF(AQ26="Al",2,3),FALSE))/(AN26))*(G26/1000))+(((VLOOKUP(IF(BB26="No",(IF(AQ26="Al",LOOKUP(S26,CONDUCTORES!$A$111:$A$131,CONDUCTORES!$C$111:$C$131),LOOKUP(S26,CONDUCTORES!$A$111:$A$131,CONDUCTORES!$B$111:$B$131))),BB26),CONDUCTORES!$L$83:$N$97,IF(AQ26="Al",2,3),FALSE))/IF(BB26="No",1,BA26))*(G26/1000))))/1000,2)," &lt; 10*Inp"),((IF(L26=1,K26,K26/SQRT(3)))/((((VLOOKUP(AM26,CONDUCTORES!$L$83:$N$97,IF(AQ26="Al",2,3),FALSE))/(AN26))*(G26/1000))+(((VLOOKUP(IF(BB26="No",(IF(AQ26="Al",LOOKUP(S26,CONDUCTORES!$A$111:$A$131,CONDUCTORES!$C$111:$C$131),LOOKUP(S26,CONDUCTORES!$A$111:$A$131,CONDUCTORES!$B$111:$B$131))),BB26),CONDUCTORES!$L$83:$N$97,IF(AQ26="Al",2,3),FALSE))/IF(BB26="No",1,BA26))*(G26/1000))))/1000)</f>
        <v>3.243548620534733</v>
      </c>
      <c r="U26" s="830">
        <v>0.02</v>
      </c>
      <c r="V26" s="1062" t="str">
        <f t="shared" si="23"/>
        <v>ALUMINIO, XHHW-2, 600 V, 90°C, Monopolar</v>
      </c>
      <c r="W26" s="1055" t="str">
        <f>IF(Z26="AÉREO",CONCATENATE(AN26,"x[3x(1x",AM26,")] + ",AN26,"x(1Nx",(VLOOKUP(BU26,CONDUCTORES!$A$156:$Y$161,25,FALSE))," AWG)"),IF(AND(AO26="Multiconductor",AY26="SI"),(CONCATENATE(AN26,"x(",IF(AO26="Monopolar",L26,IF(AW26="Motor Alimentado de VFD",3,MID(AP26,1,1))),"x",AM26,IF(AW26="Motor Alimentado de VFD",,")")," + ",IF(BD26="No","",CONCATENATE(" ",AN26,"x(",BC26,"Nx",BD26,") + ")),IF(AW26="Motor Alimentado de VFD",,IF(ISERROR(VLOOKUP(D26,'H4-CANALIZACIONES'!$C$28:$AN$40,COLUMN('H4-CANALIZACIONES'!#REF!),FALSE))=TRUE,AN26,VLOOKUP(D26,'H4-CANALIZACIONES'!$C$28:$AN$40,COLUMN('H4-CANALIZACIONES'!#REF!),FALSE))),IF(AW26="Motor Alimentado de VFD",,"x("),IF(BB26="No",IF(AW26="Motor Alimentado de VFD",3,1),BA26),"Gx",(IF(AQ26="Al",IF(AW26="Motor Alimentado de VFD",VLOOKUP(AM26,CONDUCTORES!$H$84:$J$98,3,FALSE),IF(BB26="No",LOOKUP(S26,CONDUCTORES!$A$111:$A$131,CONDUCTORES!$C$111:$C$131),BB26)),IF(AW26="Motor Alimentado de VFD",VLOOKUP(AM26,CONDUCTORES!$H$84:$J$98,3,FALSE),IF(BB26="No",LOOKUP(S26,CONDUCTORES!$A$111:$A$131,CONDUCTORES!$B$111:$B$131),BB26)))),")")),(IF(AO26="Multiconductor",CONCATENATE(AN26,"x(",IF(AO26="Monopolar",L26,IF(AW26="Motor Alimentado de VFD",3,MID(AP26,1,1))),"x",AM26,IF(AW26="Motor Alimentado de VFD",CONCATENATE(" + 3Gx",VLOOKUP(AM26,CONDUCTORES!$H$84:$J$98,3,FALSE)),""),")"),(IF(AND(K26=480,AY26="No"),CONCATENATE(AN26,"x[",L26,"x(1x",AM26,")]",IF(BD26="No","",CONCATENATE(" ",AN26,"x(",BC26,"Nx",BD26,")"))),IF(AND(AO26="Monopolar",K26&lt;&gt;34500,Z26&lt;&gt;"BANDEJA"),CONCATENATE(AN26,"x[",L26,"x(1x",AM26,")] + ",IF(BD26="No","",CONCATENATE(" ",AN26,"x(",BC26,"Nx",BD26,") + ")),IF(ISERROR(VLOOKUP(D26,'H4-CANALIZACIONES'!$C$28:$AN$40,COLUMN('H4-CANALIZACIONES'!#REF!),FALSE))=TRUE,'H4-CANALIZACIONES'!AO35,VLOOKUP(D26,'H4-CANALIZACIONES'!$C$28:$AN$40,COLUMN('H4-CANALIZACIONES'!#REF!),FALSE)),"x(",IF(BB26="No",1,BA26),"Gx",(IF(AQ26="Al",IF(AW26="Motor Alimentado de VFD",VLOOKUP(AM26,CONDUCTORES!$H$84:$J$98,3,FALSE),IF(BB26="No",LOOKUP(S26,CONDUCTORES!$A$111:$A$131,CONDUCTORES!$C$111:$C$131),BB26)),IF(AW26="Motor Alimentado de VFD",VLOOKUP(AM26,CONDUCTORES!$H$84:$J$98,3,FALSE),IF(BB26="No",LOOKUP(S26,CONDUCTORES!$A$111:$A$131,CONDUCTORES!$B$111:$B$131),BB26)))),")"),IF(K26=34500,CONCATENATE(AN26,"x[",L26,"x(1x",AM26,")]"),IF(AND(AY26="SI"),CONCATENATE(AN26,"x[",IF(AO26="Monopolar",L26,MID(AP26,1,1)),"x(1x",AM26,")] + ",IF(BD26="No","",CONCATENATE(" ",AN26,"x(",BC26,"Nx",BD26,") + ")),1,"x(",IF(BB26="No",1,BA26),"Gx",(IF(AQ26="Al",IF(AW26="Motor Alimentado de VFD",VLOOKUP(AM26,CONDUCTORES!$H$84:$J$98,3,FALSE),IF(BB26="No",LOOKUP(S26,CONDUCTORES!$A$111:$A$131,CONDUCTORES!$C$111:$C$131),BB26)),IF(AW26="Motor Alimentado de VFD",VLOOKUP(AM26,CONDUCTORES!$H$84:$J$98,3,FALSE),IF(BB26="No",LOOKUP(S26,CONDUCTORES!$A$111:$A$131,CONDUCTORES!$B$111:$B$131),BB26)))),")"),CONCATENATE(AN26,"x(",IF(AO26="Monopolar",L26,MID(AP26,1,1)),"x",AM26,")"))))))))))</f>
        <v>1x[3x(1x1/0 AWG)] + 1x(1Gx4 AWG)</v>
      </c>
      <c r="X26" s="1062" t="str">
        <f>IF(AND(AN26&gt;=2,OR(AM26="12 AWG",AM26="10 AWG",AM26="8 AWG",AM26="6 AWG",AM26="4 AWG",AM26="2 AWG")),"NO SE PERMITEN "&amp;AN26&amp;" CONDUCTORES DE "&amp;AM26&amp;"",""&amp;IF(AN26=1,"",IF(AN26=2,"1/2-",IF(AN26=3,"1/2/3-",IF(AN26=4,"1/2/3/4-",IF(AN26=5,"1/2/3/4/5-",IF(AN26=6,"1/2/3/4/5/6-",IF(AN26=7,"1/2/3/4/5/6/7-",IF(AN26=8,"1/2/3/4/5/6/7/8-",IF(AN26=9,"1/2/3/4/5/6/7/8/9-","1/2/3/4/5/6/7/8/9/10-")))))))))&amp;""&amp;IF(MID(D26,1,1)="H","H",IF(MID(D26,1,3)="ILU","A","P"))&amp;"-"&amp;IF(OR(AND(AO26="Monopolar",AY26="SI"),AND(AO26="Multiconductor",AP26="4/C  -")),"06",IF(AND(AO26="Monopolar",AY26="No"),"05",IF(AND(AO26="Multiconductor",AP26="3/C  -",AY26="No"),IF(AW26="Motor Alimentado de VFD","06",IF(AND(AO26="Multiconductor",AP26="2/C  -",AY26="No"),"01",IF(AW26="Otra Carga","02","04"))))))&amp;"-"&amp;VLOOKUP(K26,'CODIFICACIÓN ECO'!$F$5:$G$21,2,FALSE)&amp;"-"&amp;D26&amp;"")</f>
        <v>P-06-08-PCP-DT-97</v>
      </c>
      <c r="Y26" s="1061">
        <f>IF(Z26="AÉREO",LOOKUP(BU26,CONDUCTORES!$A$156:$A$161,CONDUCTORES!$P$156:$P$161),IF(AND(Z26="BANDEJA",AQ26="Cu",OR(AV26=0,AV26=1)),LOOKUP(BU26,CONDUCTORES!$A$9:$A$62,CONDUCTORES!$M$9:$M$62),IF(AND(OR(Z26="BANCO DE DUCTOS",Z26="TUBO"),AQ26="Cu"),LOOKUP(BU26,CONDUCTORES!$A$9:$A$62,CONDUCTORES!$L$9:$L$62),IF(AND(Z26="BANDEJA",AQ26="Al",OR(AV26=0,AV26=1)),LOOKUP(BU26,CONDUCTORES!$A$9:$A$62,CONDUCTORES!$P$9:$P$62),IF(AND(OR(Z26="BANCO DE DUCTOS",Z26="TUBO"),AQ26="Al"),LOOKUP(BU26,CONDUCTORES!$A$9:$A$62,CONDUCTORES!$O$9:$O$62),IF(AND(Z26="BANDEJA",AQ26="Cu",AV26=2.15),LOOKUP(BU26,CONDUCTORES!$A$9:$A$62,CONDUCTORES!$N$9:$N$62),IF(AND(Z26="BANDEJA",AQ26="Al",AV26=2.15),LOOKUP(BU26,CONDUCTORES!$A$9:$A$62,CONDUCTORES!$Q$9:$Q$62),"")))))))</f>
        <v>135</v>
      </c>
      <c r="Z26" s="1062" t="s">
        <v>596</v>
      </c>
      <c r="AA26" s="1061">
        <f>IF(ISERROR(VLOOKUP(D26,'H4-CANALIZACIONES'!$C$2:$AN$36,3,FALSE))=TRUE,(IF(AO26="Multiconductor",IF(AW26="Motor Alimentado de VFD",3,IF(K26=120,1,(MID(AP26,1,1))-1)),L26)),IF(MOD(MID(W26,1,1),IF(VLOOKUP(D26,'H4-CANALIZACIONES'!$C$2:$AN$36,COLUMN('H4-CANALIZACIONES'!Y12),FALSE)="--",1,VLOOKUP(D26,'H4-CANALIZACIONES'!$C$26:$AN$36,COLUMN('H4-CANALIZACIONES'!Y12),FALSE)))=0,(MID(W26,1,1)/IF(VLOOKUP(D26,'H4-CANALIZACIONES'!$C$2:$AN$36,COLUMN('H4-CANALIZACIONES'!Y12),FALSE)="--",1,VLOOKUP(D26,'H4-CANALIZACIONES'!$C$26:$AN$36,COLUMN('H4-CANALIZACIONES'!Y12),FALSE)))*(IF(AO26="Multiconductor",IF(AW26="Motor Alimentado de VFD",3,IF(K26=120,1,(MID(AP26,1,1))-1)),L26)),"NO"))</f>
        <v>3</v>
      </c>
      <c r="AB26" s="1056">
        <f t="shared" si="24"/>
        <v>1</v>
      </c>
      <c r="AC26" s="1063" t="s">
        <v>597</v>
      </c>
      <c r="AD26" s="1064">
        <f t="shared" si="25"/>
        <v>1</v>
      </c>
      <c r="AE26" s="1059">
        <f t="shared" si="41"/>
        <v>135</v>
      </c>
      <c r="AF26" s="1065">
        <f t="shared" si="26"/>
        <v>0.46884505179579861</v>
      </c>
      <c r="AG26" s="1065">
        <f t="shared" si="3"/>
        <v>2.7260005882482257</v>
      </c>
      <c r="AH26" s="1065">
        <f t="shared" si="27"/>
        <v>0.99875233887784465</v>
      </c>
      <c r="AI26" s="831" t="str">
        <f t="shared" si="28"/>
        <v>SI</v>
      </c>
      <c r="AJ26" s="832" t="str">
        <f t="shared" si="29"/>
        <v>SI</v>
      </c>
      <c r="AK26" s="812">
        <f>SQRT((IF(AQ26="Cu",0.0297,0.0125))*LOG10((150+(IF(AQ26="Cu",234,228)))/(90+(IF(AQ26="Cu",234,228))))/U26)*LOOKUP(BU26,CONDUCTORES!$A$9:$A$62,CONDUCTORES!$W$9:$W$62)</f>
        <v>22.745745819268617</v>
      </c>
      <c r="AL26" s="758">
        <v>20</v>
      </c>
      <c r="AM26" s="548" t="s">
        <v>598</v>
      </c>
      <c r="AN26" s="548">
        <v>1</v>
      </c>
      <c r="AO26" s="548" t="s">
        <v>599</v>
      </c>
      <c r="AP26" s="548" t="s">
        <v>645</v>
      </c>
      <c r="AQ26" s="341" t="s">
        <v>601</v>
      </c>
      <c r="AR26" s="341" t="s">
        <v>97</v>
      </c>
      <c r="AS26" s="548">
        <v>1</v>
      </c>
      <c r="AT26" s="548">
        <v>1</v>
      </c>
      <c r="AU26" s="548" t="s">
        <v>613</v>
      </c>
      <c r="AV26" s="548">
        <v>1</v>
      </c>
      <c r="AW26" s="549" t="s">
        <v>657</v>
      </c>
      <c r="AX26" s="548">
        <v>5</v>
      </c>
      <c r="AY26" s="550" t="s">
        <v>175</v>
      </c>
      <c r="AZ26" s="547">
        <f>((( IF(L26=1,K26, (K26/SQRT(3))  )     /((((VLOOKUP(AM26,CONDUCTORES!$L$83:$N$97,IF(AQ26="Al",2,3),FALSE))/(AN26))*(G26/1000))+(((VLOOKUP(IF(BB26="No",IF(AO26="Multiconductor",AM26,(IF(AQ26="Al",LOOKUP(S26,CONDUCTORES!$A$111:$A$131,CONDUCTORES!$C$111:$C$131),LOOKUP(S26,CONDUCTORES!$A$111:$A$131,CONDUCTORES!$B$111:$B$131)))),BB26),CONDUCTORES!$L$83:$N$97,IF(AQ26="Al",2,3),FALSE))/IF(BB26="No",1,BA26))*(G26/1000))))/1000)/(S26))*1000</f>
        <v>40.544357756684164</v>
      </c>
      <c r="BA26" s="548">
        <f t="shared" si="64"/>
        <v>1</v>
      </c>
      <c r="BB26" s="548" t="s">
        <v>810</v>
      </c>
      <c r="BC26" s="548">
        <v>1</v>
      </c>
      <c r="BD26" s="548" t="s">
        <v>605</v>
      </c>
      <c r="BE26" s="565">
        <f>BG26*((IF(Z26="BANDEJA",1,VLOOKUP(AA26,'% PORTADORES I'!$A$2:$B$42,2,FALSE)))*(IF(Z26="AÉREO",LOOKUP(BV26,CONDUCTORES!$A$156:$A$161,CONDUCTORES!$P$156:$P$161),IF(AND(Z26="BANDEJA",OR(AV26=0,AV26=1)),IF(BH26="Cu",LOOKUP(BV26,CONDUCTORES!$A$9:$A$62,CONDUCTORES!$M$9:$M$62),LOOKUP(BV26,CONDUCTORES!$A$9:$A$62,CONDUCTORES!$P$9:$P$62)),IF(OR(Z26="BANCO DE DUCTOS",Z26="TUBO"),IF(BH26="Cu",LOOKUP(BV26,CONDUCTORES!$A$9:$A$62,CONDUCTORES!$L$9:$L$62),LOOKUP(BV26,CONDUCTORES!$A$9:$A$62,CONDUCTORES!$O$9:$O$62)),IF(AND(Z26="BANDEJA",AV26=2.15),IF(BH26="Cu",LOOKUP(BV26,CONDUCTORES!$A$9:$A$62,CONDUCTORES!$N$9:$N$62),LOOKUP(BV26,CONDUCTORES!$A$9:$A$62,CONDUCTORES!$Q$9:$Q$62))))))))*AD26*AB26</f>
        <v>135</v>
      </c>
      <c r="BF26" s="548" t="str">
        <f t="shared" si="14"/>
        <v>1/0 AWG</v>
      </c>
      <c r="BG26" s="548">
        <f t="shared" si="11"/>
        <v>1</v>
      </c>
      <c r="BH26" s="341" t="s">
        <v>601</v>
      </c>
      <c r="BI26" s="641" t="str">
        <f t="shared" si="30"/>
        <v>1/C  -</v>
      </c>
      <c r="BJ26" s="618">
        <f>IF(Z26="AÉREO",LOOKUP(BU26,CONDUCTORES!$A$156:$A$161,CONDUCTORES!$D$156:$D$161),LOOKUP(BU26,CONDUCTORES!$A$9:$A$62,CONDUCTORES!$D$9:$D$62))</f>
        <v>12.24</v>
      </c>
      <c r="BK26" s="621">
        <f>LOOKUP(BU26,CONDUCTORES!$A$9:$A$62,CONDUCTORES!$R$9:$R$62)</f>
        <v>20</v>
      </c>
      <c r="BL26" s="619">
        <f>IF(AQ26="Cu",LOOKUP(BU26,CONDUCTORES!$A$9:$A$62,CONDUCTORES!$H$9:$H$62),IF(AQ26="Al",LOOKUP(BU26,CONDUCTORES!$A$9:$A$62,CONDUCTORES!$J$9:$J$62),"Err Material"))</f>
        <v>0.68847200000000008</v>
      </c>
      <c r="BM26" s="619">
        <f>LOOKUP(BU26,CONDUCTORES!$A$9:$A$62,CONDUCTORES!$I$9:$I$62)</f>
        <v>0.18044619422572178</v>
      </c>
      <c r="BN26" s="620">
        <f t="shared" si="31"/>
        <v>135</v>
      </c>
      <c r="BO26" s="625">
        <f t="shared" si="32"/>
        <v>1</v>
      </c>
      <c r="BP26" s="620" t="str">
        <f>IF(BR26&gt;Q26,Listas!C$2,Listas!C$3)</f>
        <v>Si</v>
      </c>
      <c r="BQ26" s="620" t="str">
        <f>IF(AF26&lt;$BQ$12*100,Listas!C$2,Listas!C$3)</f>
        <v>Si</v>
      </c>
      <c r="BR26" s="621">
        <f>AN26*((IF(Z26="BANDEJA",1,VLOOKUP(AA26,'% PORTADORES I'!$A$2:$B$42,2,FALSE)))*(Y26))*AD26*AB26</f>
        <v>135</v>
      </c>
      <c r="BS26" s="621">
        <f t="shared" si="33"/>
        <v>70.603004313676664</v>
      </c>
      <c r="BT26" s="642" t="str">
        <f t="shared" si="34"/>
        <v>1/0 AWG</v>
      </c>
      <c r="BU26" s="622">
        <f>IF(AO26="Monopolar",VLOOKUP(AM26,CONDUCTORES!$B$9:$X$23,23,FALSE),IF(AND(AM26="12 AWG",AO26="Multiconductor",AP26="2/C  -"),16,IF(AND(AM26="12 AWG",AO26="Multiconductor",AP26="3/C  -"),17,IF(AND(AM26="12 AWG",AO26="Multiconductor",AP26="4/C  -"),18,IF(AND(AM26="10 AWG",AO26="Multiconductor",AP26="2/C  -"),19,IF(AND(AM26="10 AWG",AO26="Multiconductor",AP26="3/C  -"),20,IF(AND(AM26="10 AWG",AO26="Multiconductor",AP26="4/C  -"),21,IF(AND(AM26="8 AWG",AO26="Multiconductor",AP26="2/C  -"),22,IF(AND(AM26="8 AWG",AO26="Multiconductor",AP26="3/C  -"),23,IF(AND(AM26="8 AWG",AO26="Multiconductor",AP26="4/C  -"),24,IF(AND(AM26="6 AWG",AO26="Multiconductor",AP26="2/C  -"),25,IF(AND(AM26="6 AWG",AO26="Multiconductor",AP26="3/C  -"),26,IF(AND(AM26="6 AWG",AO26="Multiconductor",AP26="4/C  -"),27,IF(AND(AM26="4 AWG",AO26="Multiconductor",AP26="2/C  -"),28,IF(AND(AM26="4 AWG",AO26="Multiconductor",AP26="3/C  -"),29,IF(AND(AM26="4 AWG",AO26="Multiconductor",AP26="4/C  -"),30,IF(AND(AM26="2 AWG",AO26="Multiconductor",AP26="2/C  -"),31,IF(AND(AM26="2 AWG",AO26="Multiconductor",AP26="3/C  -"),32,IF(AND(AM26="2 AWG",AO26="Multiconductor",AP26="4/C  -"),33,IF(AND(AM26="1/0 AWG",AO26="Multiconductor",AP26="2/C  -"),34,IF(AND(AM26="1/0 AWG",AO26="Multiconductor",AP26="3/C  -"),35,IF(AND(AM26="1/0 AWG",AO26="Multiconductor",AP26="4/C  -"),36,IF(AND(AM26="2/0 AWG",AO26="Multiconductor",AP26="2/C  -"),37,IF(AND(AM26="2/0 AWG",AO26="Multiconductor",AP26="3/C  -"),38,IF(AND(AM26="2/0 AWG",AO26="Multiconductor",AP26="4/C  -"),39,IF(AND(AM26="3/0 AWG",AO26="Multiconductor",AP26="2/C  -"),40,IF(AND(AM26="3/0 AWG",AO26="Multiconductor",AP26="3/C  -"),41,IF(AND(AM26="3/0 AWG",AO26="Multiconductor",AP26="4/C  -"),42,IF(AND(AM26="4/0 AWG",AO26="Multiconductor",AP26="2/C  -"),43,IF(AND(AM26="4/0 AWG",AO26="Multiconductor",AP26="3/C  -"),44,IF(AND(AM26="4/0 AWG",AO26="Multiconductor",AP26="4/C  -"),45,IF(AND(AM26="250 kcmil",AO26="Multiconductor",AP26="2/C  -"),46,IF(AND(AM26="250 kcmil",AO26="Multiconductor",AP26="3/C  -"),47,IF(AND(AM26="250 kcmil",AO26="Multiconductor",AP26="4/C  -"),48,IF(AND(AM26="350 kcmil",AO26="Multiconductor",AP26="2/C  -"),49,IF(AND(AM26="350 kcmil",AO26="Multiconductor",AP26="3/C  -"),50,IF(AND(AM26="350 kcmil",AO26="Multiconductor",AP26="4/C  -"),51,IF(AND(AM26="500 kcmil",AO26="Multiconductor",AP26="2/C  -"),52,IF(AND(AM26="500 kcmil",AO26="Multiconductor",AP26="3/C  -"),53,IF(AND(AM26="500 kcmil",AO26="Multiconductor",AP26="4/C  -"),54,FALSE))))))))))))))))))))))))))))))))))))))))</f>
        <v>7</v>
      </c>
      <c r="BV26" s="622">
        <f>IF(AO26="Monopolar",VLOOKUP(BF26,CONDUCTORES!$B$9:$X$23,23,FALSE),IF(AND(BF26="12 AWG",AO26="Multiconductor",AP26="2/C  -"),16,IF(AND(BF26="12 AWG",AO26="Multiconductor",AP26="3/C  -"),17,IF(AND(BF26="12 AWG",AO26="Multiconductor",AP26="4/C  -"),18,IF(AND(BF26="10 AWG",AO26="Multiconductor",AP26="2/C  -"),19,IF(AND(BF26="10 AWG",AO26="Multiconductor",AP26="3/C  -"),20,IF(AND(BF26="10 AWG",AO26="Multiconductor",AP26="4/C  -"),21,IF(AND(BF26="8 AWG",AO26="Multiconductor",AP26="2/C  -"),22,IF(AND(BF26="8 AWG",AO26="Multiconductor",AP26="3/C  -"),23,IF(AND(BF26="8 AWG",AO26="Multiconductor",AP26="4/C  -"),24,IF(AND(BF26="6 AWG",AO26="Multiconductor",AP26="2/C  -"),25,IF(AND(BF26="6 AWG",AO26="Multiconductor",AP26="3/C  -"),26,IF(AND(BF26="6 AWG",AO26="Multiconductor",AP26="4/C  -"),27,IF(AND(BF26="4 AWG",AO26="Multiconductor",AP26="2/C  -"),28,IF(AND(BF26="4 AWG",AO26="Multiconductor",AP26="3/C  -"),29,IF(AND(BF26="4 AWG",AO26="Multiconductor",AP26="4/C  -"),30,IF(AND(BF26="2 AWG",AO26="Multiconductor",AP26="2/C  -"),31,IF(AND(BF26="2 AWG",AO26="Multiconductor",AP26="3/C  -"),32,IF(AND(BF26="2 AWG",AO26="Multiconductor",AP26="4/C  -"),33,IF(AND(BF26="1/0 AWG",AO26="Multiconductor",AP26="2/C  -"),34,IF(AND(BF26="1/0 AWG",AO26="Multiconductor",AP26="3/C  -"),35,IF(AND(BF26="1/0 AWG",AO26="Multiconductor",AP26="4/C  -"),36,IF(AND(BF26="2/0 AWG",AO26="Multiconductor",AP26="2/C  -"),37,IF(AND(BF26="2/0 AWG",AO26="Multiconductor",AP26="3/C  -"),38,IF(AND(BF26="2/0 AWG",AO26="Multiconductor",AP26="4/C  -"),39,IF(AND(BF26="3/0 AWG",AO26="Multiconductor",AP26="2/C  -"),40,IF(AND(BF26="3/0 AWG",AO26="Multiconductor",AP26="3/C  -"),41,IF(AND(BF26="3/0 AWG",AO26="Multiconductor",AP26="4/C  -"),42,IF(AND(BF26="4/0 AWG",AO26="Multiconductor",AP26="2/C  -"),43,IF(AND(BF26="4/0 AWG",AO26="Multiconductor",AP26="3/C  -"),44,IF(AND(BF26="4/0 AWG",AO26="Multiconductor",AP26="4/C  -"),45,IF(AND(BF26="250 kcmil",AO26="Multiconductor",AP26="2/C  -"),46,IF(AND(BF26="250 kcmil",AO26="Multiconductor",AP26="3/C  -"),47,IF(AND(BF26="250 kcmil",AO26="Multiconductor",AP26="4/C  -"),48,IF(AND(BF26="350 kcmil",AO26="Multiconductor",AP26="2/C  -"),49,IF(AND(BF26="350 kcmil",AO26="Multiconductor",AP26="3/C  -"),50,IF(AND(BF26="350 kcmil",AO26="Multiconductor",AP26="4/C  -"),51,IF(AND(BF26="500 kcmil",AO26="Multiconductor",AP26="2/C  -"),52,IF(AND(BF26="500 kcmil",AO26="Multiconductor",AP26="3/C  -"),53,IF(AND(BF26="500 kcmil",AO26="Multiconductor",AP26="4/C  -"),54,FALSE))))))))))))))))))))))))))))))))))))))))</f>
        <v>7</v>
      </c>
      <c r="BW26" s="623">
        <f t="shared" si="35"/>
        <v>0.52298521713834567</v>
      </c>
      <c r="BX26" s="624">
        <f t="shared" si="36"/>
        <v>1</v>
      </c>
      <c r="BY26" s="625">
        <f t="shared" si="37"/>
        <v>0.6</v>
      </c>
      <c r="BZ26" s="625">
        <f t="shared" si="38"/>
        <v>1</v>
      </c>
      <c r="CA26" s="626">
        <f>IF(AS26&gt;4,"# FILAS Fuera de rango",IF(AT26&gt;15,"#COLUMNAS Fuera de rango",IF(BU26=0,"CALIBRE CABLE CERO",IF(OR(BU26=1,BU26=16,BU26=17,BU26=18),INDEX('0-5000'!$D$4:$R$7,AS26,AT26),IF(OR(BU26=2,BU26=19,BU26=20,BU26=21),INDEX('0-5000'!$D$8:$R$11,AS26,AT26),IF(OR(BU26=3,BU26=22,BU26=23,BU26=24),INDEX('0-5000'!$D$12:$R$15,AS26,AT26),IF(OR(BU26=4,BU26=25,BU26=26,BU26=27),INDEX('0-5000'!$D$16:$R$19,AS26,AT26),CB26)))))))</f>
        <v>1</v>
      </c>
      <c r="CB26" s="627">
        <f>IF(OR(BU26=1,BU26=16,BU26=17,BU26=18),INDEX('0-5000'!$D$4:$R$7,AS26,AT26),IF(OR(BU26=2,BU26=19,BU26=20,BU26=21),INDEX('0-5000'!$D$8:$R$11,AS26,AT26),IF(OR(BU26=3,BU26=22,BU26=23,BU26=24),INDEX('0-5000'!$D$12:$R$15,AS26,AT26),IF(OR(BU26=4,BU26=25,BU26=26,BU26=27),INDEX('0-5000'!$D$18:$R$19,AS26,AT26),IF(OR(BU26=5,BU26=28,BU26=29,BU26=30),INDEX('0-5000'!$D$20:$R$23,AS26,AT26),IF(OR(BU26=6,BU26=31,BU26=32,BU26=33),INDEX('0-5000'!$D$24:$R$27,AS26,AT26),IF(OR(BU26=7,BU26=34,BU26=35,BU26=36),INDEX('0-5000'!$D$32:$R$35,AS26,AT26),IF(OR(BU26=8,BU26=37,BU26=38,BU26=39),INDEX('0-5000'!$D$36:$R$39,AS26,AT26),IF(OR(BU26=9,BU26=40,BU26=41,BU26=42),INDEX('0-5000'!$D$40:$R$43,AS26,AT26),IF(OR(BU26=10,BU26=43,BU26=44,BU26=45),INDEX('0-5000'!$D$44:$R$47,AS26,AT26),IF(OR(BU26=11,BU26=46,BU26=47,BU26=48),INDEX('0-5000'!$D$48:$R$51,AS26,AT26),IF(OR(BU26=12,BU26=49,BU26=50,BU26=51),INDEX('0-5000'!$D$52:$R$55,AS26,AT26),IF(OR(BU26=13,BU26=52,BU26=53,BU26=54),INDEX('0-5000'!$D$56:$R$59,AS26,AT26),IF(OR(BU26=14,BU26=55,BU26=56,BU26=57),INDEX('0-5000'!$D$60:$R$63,AS26,AT26),IF(BU26=15,INDEX('0-5000'!$D$64:$R$67,AS26,AT26),"# CABLE Fuera de Rango")))))))))))))))</f>
        <v>1</v>
      </c>
      <c r="CC26" s="643">
        <f>VLOOKUP($AC26,Listas!$A$20:$B$29,2,FALSE)</f>
        <v>1</v>
      </c>
      <c r="CD26" s="616">
        <f t="shared" si="39"/>
        <v>2</v>
      </c>
    </row>
    <row r="27" spans="2:82" x14ac:dyDescent="0.25">
      <c r="B27" s="338">
        <f>+IF(OR(CD27=0,CD27=1),0,COUNTIF(CD$15:CD27,CD27))</f>
        <v>0</v>
      </c>
      <c r="C27" s="566"/>
      <c r="T27" s="567"/>
      <c r="BI27" s="615"/>
      <c r="BJ27" s="644"/>
      <c r="BT27" s="615"/>
      <c r="BU27" s="607"/>
      <c r="BV27" s="607"/>
      <c r="BX27" s="615"/>
      <c r="CA27" s="607"/>
      <c r="CD27" s="616">
        <f>LEN(C27)-LEN(SUBSTITUTE(C27,IF(ISNUMBER(FIND(".",C27)),".",","),""))</f>
        <v>0</v>
      </c>
    </row>
    <row r="28" spans="2:82" x14ac:dyDescent="0.25">
      <c r="B28" s="338">
        <f>+IF(OR(CD28=0,CD28=1),0,COUNTIF(CD$15:CD28,CD28))</f>
        <v>0</v>
      </c>
      <c r="C28" s="566" t="str">
        <f>"* EL DIMENSIONAMIENTO DE LAS CANALIZACIONES SE ENCUENTRA EN EL ÍTEM "&amp;'H4-CANALIZACIONES'!B14&amp;" DEL PRESENTE DOCUMENTO"</f>
        <v>* EL DIMENSIONAMIENTO DE LAS CANALIZACIONES SE ENCUENTRA EN EL ÍTEM 4 DEL PRESENTE DOCUMENTO</v>
      </c>
      <c r="T28" s="567"/>
      <c r="BI28" s="615"/>
      <c r="BJ28" s="644"/>
      <c r="BT28" s="615"/>
      <c r="BU28" s="607"/>
      <c r="BV28" s="607"/>
      <c r="BX28" s="615"/>
      <c r="CA28" s="607"/>
      <c r="CD28" s="616">
        <f t="shared" ref="CD28:CD75" si="65">LEN(C28)-LEN(SUBSTITUTE(C28,IF(ISNUMBER(FIND(".",C28)),".",","),""))</f>
        <v>0</v>
      </c>
    </row>
    <row r="29" spans="2:82" x14ac:dyDescent="0.25">
      <c r="B29" s="338">
        <f>+IF(OR(CD29=0,CD29=1),0,COUNTIF(CD$15:CD29,CD29))</f>
        <v>0</v>
      </c>
      <c r="CD29" s="616">
        <f t="shared" si="65"/>
        <v>0</v>
      </c>
    </row>
    <row r="30" spans="2:82" x14ac:dyDescent="0.25">
      <c r="B30" s="338">
        <f>+IF(OR(CD30=0,CD30=1),0,COUNTIF(CD$15:CD30,CD30))</f>
        <v>0</v>
      </c>
      <c r="E30" s="821" t="s">
        <v>1968</v>
      </c>
      <c r="CD30" s="616">
        <f t="shared" si="65"/>
        <v>0</v>
      </c>
    </row>
    <row r="31" spans="2:82" x14ac:dyDescent="0.25">
      <c r="B31" s="338">
        <f>+IF(OR(CD31=0,CD31=1),0,COUNTIF(CD$15:CD31,CD31))</f>
        <v>0</v>
      </c>
      <c r="CD31" s="616">
        <f t="shared" si="65"/>
        <v>0</v>
      </c>
    </row>
    <row r="32" spans="2:82" x14ac:dyDescent="0.25">
      <c r="B32" s="338">
        <f>+IF(OR(CD32=0,CD32=1),0,COUNTIF(CD$15:CD32,CD32))</f>
        <v>0</v>
      </c>
      <c r="CD32" s="616">
        <f t="shared" si="65"/>
        <v>0</v>
      </c>
    </row>
    <row r="33" spans="2:82" x14ac:dyDescent="0.25">
      <c r="B33" s="338">
        <f>+IF(OR(CD33=0,CD33=1),0,COUNTIF(CD$15:CD33,CD33))</f>
        <v>0</v>
      </c>
      <c r="CD33" s="616">
        <f t="shared" si="65"/>
        <v>0</v>
      </c>
    </row>
    <row r="34" spans="2:82" x14ac:dyDescent="0.25">
      <c r="B34" s="338">
        <f>+IF(OR(CD34=0,CD34=1),0,COUNTIF(CD$15:CD34,CD34))</f>
        <v>0</v>
      </c>
      <c r="L34" s="545">
        <f>+$N$34*M34</f>
        <v>396</v>
      </c>
      <c r="M34" s="545">
        <v>0.99</v>
      </c>
      <c r="N34" s="545">
        <v>400</v>
      </c>
      <c r="O34" s="545">
        <v>0.95</v>
      </c>
      <c r="P34" s="545">
        <f>+$N$34*O34</f>
        <v>380</v>
      </c>
      <c r="R34" s="545">
        <v>390</v>
      </c>
      <c r="V34" s="545">
        <f>+R34/N34</f>
        <v>0.97499999999999998</v>
      </c>
      <c r="CD34" s="616">
        <f t="shared" si="65"/>
        <v>0</v>
      </c>
    </row>
    <row r="35" spans="2:82" x14ac:dyDescent="0.25">
      <c r="B35" s="338">
        <f>+IF(OR(CD35=0,CD35=1),0,COUNTIF(CD$15:CD35,CD35))</f>
        <v>0</v>
      </c>
      <c r="L35" s="545">
        <f t="shared" ref="L35:L83" si="66">+$N$34*M35</f>
        <v>392</v>
      </c>
      <c r="M35" s="545">
        <v>0.98</v>
      </c>
      <c r="O35" s="545">
        <v>0.9</v>
      </c>
      <c r="P35" s="545">
        <f t="shared" ref="P35:P43" si="67">+$N$34*O35</f>
        <v>360</v>
      </c>
      <c r="W35" s="808"/>
      <c r="CD35" s="616">
        <f t="shared" si="65"/>
        <v>0</v>
      </c>
    </row>
    <row r="36" spans="2:82" x14ac:dyDescent="0.25">
      <c r="B36" s="338">
        <f>+IF(OR(CD36=0,CD36=1),0,COUNTIF(CD$15:CD36,CD36))</f>
        <v>0</v>
      </c>
      <c r="L36" s="545">
        <f t="shared" si="66"/>
        <v>388</v>
      </c>
      <c r="M36" s="545">
        <v>0.97</v>
      </c>
      <c r="O36" s="545">
        <v>0.85</v>
      </c>
      <c r="P36" s="545">
        <f t="shared" si="67"/>
        <v>340</v>
      </c>
      <c r="CD36" s="616">
        <f t="shared" si="65"/>
        <v>0</v>
      </c>
    </row>
    <row r="37" spans="2:82" x14ac:dyDescent="0.25">
      <c r="B37" s="338">
        <f>+IF(OR(CD37=0,CD37=1),0,COUNTIF(CD$15:CD37,CD37))</f>
        <v>0</v>
      </c>
      <c r="L37" s="545">
        <f t="shared" si="66"/>
        <v>384</v>
      </c>
      <c r="M37" s="545">
        <v>0.96</v>
      </c>
      <c r="O37" s="545">
        <v>0.8</v>
      </c>
      <c r="P37" s="545">
        <f t="shared" si="67"/>
        <v>320</v>
      </c>
      <c r="CD37" s="616">
        <f t="shared" si="65"/>
        <v>0</v>
      </c>
    </row>
    <row r="38" spans="2:82" x14ac:dyDescent="0.25">
      <c r="B38" s="338">
        <f>+IF(OR(CD38=0,CD38=1),0,COUNTIF(CD$15:CD38,CD38))</f>
        <v>0</v>
      </c>
      <c r="L38" s="545">
        <f t="shared" si="66"/>
        <v>380</v>
      </c>
      <c r="M38" s="545">
        <v>0.95</v>
      </c>
      <c r="O38" s="545">
        <v>0.75</v>
      </c>
      <c r="P38" s="545">
        <f t="shared" si="67"/>
        <v>300</v>
      </c>
      <c r="CD38" s="616">
        <f t="shared" si="65"/>
        <v>0</v>
      </c>
    </row>
    <row r="39" spans="2:82" x14ac:dyDescent="0.25">
      <c r="B39" s="338">
        <f>+IF(OR(CD39=0,CD39=1),0,COUNTIF(CD$15:CD39,CD39))</f>
        <v>0</v>
      </c>
      <c r="L39" s="545">
        <f t="shared" si="66"/>
        <v>376</v>
      </c>
      <c r="M39" s="545">
        <v>0.94</v>
      </c>
      <c r="O39" s="545">
        <v>0.7</v>
      </c>
      <c r="P39" s="545">
        <f t="shared" si="67"/>
        <v>280</v>
      </c>
      <c r="CD39" s="616">
        <f t="shared" si="65"/>
        <v>0</v>
      </c>
    </row>
    <row r="40" spans="2:82" x14ac:dyDescent="0.25">
      <c r="B40" s="338">
        <f>+IF(OR(CD40=0,CD40=1),0,COUNTIF(CD$15:CD40,CD40))</f>
        <v>0</v>
      </c>
      <c r="L40" s="545">
        <f t="shared" si="66"/>
        <v>372</v>
      </c>
      <c r="M40" s="545">
        <v>0.93</v>
      </c>
      <c r="O40" s="545">
        <v>0.65</v>
      </c>
      <c r="P40" s="545">
        <f t="shared" si="67"/>
        <v>260</v>
      </c>
      <c r="CD40" s="616">
        <f t="shared" si="65"/>
        <v>0</v>
      </c>
    </row>
    <row r="41" spans="2:82" x14ac:dyDescent="0.25">
      <c r="B41" s="338">
        <f>+IF(OR(CD41=0,CD41=1),0,COUNTIF(CD$15:CD41,CD41))</f>
        <v>0</v>
      </c>
      <c r="L41" s="545">
        <f t="shared" si="66"/>
        <v>368</v>
      </c>
      <c r="M41" s="545">
        <v>0.92</v>
      </c>
      <c r="O41" s="545">
        <v>0.6</v>
      </c>
      <c r="P41" s="545">
        <f t="shared" si="67"/>
        <v>240</v>
      </c>
      <c r="CD41" s="616">
        <f t="shared" si="65"/>
        <v>0</v>
      </c>
    </row>
    <row r="42" spans="2:82" x14ac:dyDescent="0.25">
      <c r="B42" s="338">
        <f>+IF(OR(CD42=0,CD42=1),0,COUNTIF(CD$15:CD42,CD42))</f>
        <v>0</v>
      </c>
      <c r="L42" s="545">
        <f t="shared" si="66"/>
        <v>364</v>
      </c>
      <c r="M42" s="545">
        <v>0.91</v>
      </c>
      <c r="O42" s="545">
        <v>0.55000000000000104</v>
      </c>
      <c r="P42" s="545">
        <f t="shared" si="67"/>
        <v>220.00000000000043</v>
      </c>
      <c r="CD42" s="616">
        <f t="shared" si="65"/>
        <v>0</v>
      </c>
    </row>
    <row r="43" spans="2:82" x14ac:dyDescent="0.25">
      <c r="B43" s="338">
        <f>+IF(OR(CD43=0,CD43=1),0,COUNTIF(CD$15:CD43,CD43))</f>
        <v>0</v>
      </c>
      <c r="L43" s="545">
        <f t="shared" si="66"/>
        <v>360</v>
      </c>
      <c r="M43" s="545">
        <v>0.9</v>
      </c>
      <c r="O43" s="545">
        <v>0.500000000000001</v>
      </c>
      <c r="P43" s="545">
        <f t="shared" si="67"/>
        <v>200.0000000000004</v>
      </c>
      <c r="CD43" s="616">
        <f t="shared" si="65"/>
        <v>0</v>
      </c>
    </row>
    <row r="44" spans="2:82" x14ac:dyDescent="0.25">
      <c r="B44" s="338">
        <f>+IF(OR(CD44=0,CD44=1),0,COUNTIF(CD$15:CD44,CD44))</f>
        <v>0</v>
      </c>
      <c r="L44" s="545">
        <f t="shared" si="66"/>
        <v>356</v>
      </c>
      <c r="M44" s="545">
        <v>0.89</v>
      </c>
      <c r="O44" s="545">
        <v>0.45000000000000101</v>
      </c>
      <c r="CD44" s="616">
        <f t="shared" si="65"/>
        <v>0</v>
      </c>
    </row>
    <row r="45" spans="2:82" x14ac:dyDescent="0.25">
      <c r="B45" s="338">
        <f>+IF(OR(CD45=0,CD45=1),0,COUNTIF(CD$15:CD45,CD45))</f>
        <v>0</v>
      </c>
      <c r="L45" s="545">
        <f t="shared" si="66"/>
        <v>352</v>
      </c>
      <c r="M45" s="545">
        <v>0.88</v>
      </c>
      <c r="O45" s="545">
        <v>0.40000000000000102</v>
      </c>
      <c r="CD45" s="616">
        <f t="shared" si="65"/>
        <v>0</v>
      </c>
    </row>
    <row r="46" spans="2:82" x14ac:dyDescent="0.25">
      <c r="B46" s="338">
        <f>+IF(OR(CD46=0,CD46=1),0,COUNTIF(CD$15:CD46,CD46))</f>
        <v>0</v>
      </c>
      <c r="L46" s="545">
        <f t="shared" si="66"/>
        <v>348</v>
      </c>
      <c r="M46" s="545">
        <v>0.87</v>
      </c>
      <c r="CD46" s="616">
        <f t="shared" si="65"/>
        <v>0</v>
      </c>
    </row>
    <row r="47" spans="2:82" x14ac:dyDescent="0.25">
      <c r="B47" s="338">
        <f>+IF(OR(CD47=0,CD47=1),0,COUNTIF(CD$15:CD47,CD47))</f>
        <v>0</v>
      </c>
      <c r="L47" s="545">
        <f t="shared" si="66"/>
        <v>344</v>
      </c>
      <c r="M47" s="545">
        <v>0.86</v>
      </c>
      <c r="CD47" s="616">
        <f t="shared" si="65"/>
        <v>0</v>
      </c>
    </row>
    <row r="48" spans="2:82" x14ac:dyDescent="0.25">
      <c r="B48" s="338">
        <f>+IF(OR(CD48=0,CD48=1),0,COUNTIF(CD$15:CD48,CD48))</f>
        <v>0</v>
      </c>
      <c r="L48" s="545">
        <f t="shared" si="66"/>
        <v>340</v>
      </c>
      <c r="M48" s="545">
        <v>0.85</v>
      </c>
      <c r="CD48" s="616">
        <f t="shared" si="65"/>
        <v>0</v>
      </c>
    </row>
    <row r="49" spans="2:82" x14ac:dyDescent="0.25">
      <c r="B49" s="338">
        <f>+IF(OR(CD49=0,CD49=1),0,COUNTIF(CD$15:CD49,CD49))</f>
        <v>0</v>
      </c>
      <c r="L49" s="545">
        <f t="shared" si="66"/>
        <v>336</v>
      </c>
      <c r="M49" s="545">
        <v>0.84</v>
      </c>
      <c r="CD49" s="616">
        <f t="shared" si="65"/>
        <v>0</v>
      </c>
    </row>
    <row r="50" spans="2:82" x14ac:dyDescent="0.25">
      <c r="B50" s="338">
        <f>+IF(OR(CD50=0,CD50=1),0,COUNTIF(CD$15:CD50,CD50))</f>
        <v>0</v>
      </c>
      <c r="L50" s="545">
        <f t="shared" si="66"/>
        <v>332</v>
      </c>
      <c r="M50" s="545">
        <v>0.83</v>
      </c>
      <c r="CD50" s="616">
        <f t="shared" si="65"/>
        <v>0</v>
      </c>
    </row>
    <row r="51" spans="2:82" x14ac:dyDescent="0.25">
      <c r="B51" s="338">
        <f>+IF(OR(CD51=0,CD51=1),0,COUNTIF(CD$15:CD51,CD51))</f>
        <v>0</v>
      </c>
      <c r="L51" s="545">
        <f t="shared" si="66"/>
        <v>328</v>
      </c>
      <c r="M51" s="545">
        <v>0.82</v>
      </c>
      <c r="CD51" s="616">
        <f t="shared" si="65"/>
        <v>0</v>
      </c>
    </row>
    <row r="52" spans="2:82" x14ac:dyDescent="0.25">
      <c r="B52" s="338">
        <f>+IF(OR(CD52=0,CD52=1),0,COUNTIF(CD$15:CD52,CD52))</f>
        <v>0</v>
      </c>
      <c r="L52" s="545">
        <f t="shared" si="66"/>
        <v>324</v>
      </c>
      <c r="M52" s="545">
        <v>0.81</v>
      </c>
      <c r="CD52" s="616">
        <f t="shared" si="65"/>
        <v>0</v>
      </c>
    </row>
    <row r="53" spans="2:82" x14ac:dyDescent="0.25">
      <c r="B53" s="338">
        <f>+IF(OR(CD53=0,CD53=1),0,COUNTIF(CD$15:CD53,CD53))</f>
        <v>0</v>
      </c>
      <c r="L53" s="545">
        <f t="shared" si="66"/>
        <v>320</v>
      </c>
      <c r="M53" s="545">
        <v>0.8</v>
      </c>
      <c r="CD53" s="616">
        <f t="shared" si="65"/>
        <v>0</v>
      </c>
    </row>
    <row r="54" spans="2:82" x14ac:dyDescent="0.25">
      <c r="B54" s="338">
        <f>+IF(OR(CD54=0,CD54=1),0,COUNTIF(CD$15:CD54,CD54))</f>
        <v>0</v>
      </c>
      <c r="L54" s="545">
        <f t="shared" si="66"/>
        <v>316</v>
      </c>
      <c r="M54" s="545">
        <v>0.79</v>
      </c>
      <c r="CD54" s="616">
        <f t="shared" si="65"/>
        <v>0</v>
      </c>
    </row>
    <row r="55" spans="2:82" x14ac:dyDescent="0.25">
      <c r="B55" s="338">
        <f>+IF(OR(CD55=0,CD55=1),0,COUNTIF(CD$15:CD55,CD55))</f>
        <v>0</v>
      </c>
      <c r="L55" s="545">
        <f t="shared" si="66"/>
        <v>312</v>
      </c>
      <c r="M55" s="545">
        <v>0.78</v>
      </c>
      <c r="CD55" s="616">
        <f t="shared" si="65"/>
        <v>0</v>
      </c>
    </row>
    <row r="56" spans="2:82" x14ac:dyDescent="0.25">
      <c r="B56" s="338">
        <f>+IF(OR(CD56=0,CD56=1),0,COUNTIF(CD$15:CD56,CD56))</f>
        <v>0</v>
      </c>
      <c r="L56" s="545">
        <f t="shared" si="66"/>
        <v>308</v>
      </c>
      <c r="M56" s="545">
        <v>0.77</v>
      </c>
      <c r="CD56" s="616">
        <f t="shared" si="65"/>
        <v>0</v>
      </c>
    </row>
    <row r="57" spans="2:82" x14ac:dyDescent="0.25">
      <c r="B57" s="338">
        <f>+IF(OR(CD57=0,CD57=1),0,COUNTIF(CD$15:CD57,CD57))</f>
        <v>0</v>
      </c>
      <c r="L57" s="545">
        <f t="shared" si="66"/>
        <v>304</v>
      </c>
      <c r="M57" s="545">
        <v>0.76</v>
      </c>
      <c r="CD57" s="616">
        <f t="shared" si="65"/>
        <v>0</v>
      </c>
    </row>
    <row r="58" spans="2:82" x14ac:dyDescent="0.25">
      <c r="B58" s="338">
        <f>+IF(OR(CD58=0,CD58=1),0,COUNTIF(CD$15:CD58,CD58))</f>
        <v>0</v>
      </c>
      <c r="L58" s="545">
        <f t="shared" si="66"/>
        <v>300</v>
      </c>
      <c r="M58" s="545">
        <v>0.75</v>
      </c>
      <c r="CD58" s="616">
        <f t="shared" si="65"/>
        <v>0</v>
      </c>
    </row>
    <row r="59" spans="2:82" x14ac:dyDescent="0.25">
      <c r="B59" s="338">
        <f>+IF(OR(CD59=0,CD59=1),0,COUNTIF(CD$15:CD59,CD59))</f>
        <v>0</v>
      </c>
      <c r="L59" s="545">
        <f t="shared" si="66"/>
        <v>296</v>
      </c>
      <c r="M59" s="545">
        <v>0.74</v>
      </c>
      <c r="CD59" s="616">
        <f t="shared" si="65"/>
        <v>0</v>
      </c>
    </row>
    <row r="60" spans="2:82" x14ac:dyDescent="0.25">
      <c r="B60" s="338">
        <f>+IF(OR(CD60=0,CD60=1),0,COUNTIF(CD$15:CD60,CD60))</f>
        <v>0</v>
      </c>
      <c r="L60" s="545">
        <f t="shared" si="66"/>
        <v>292</v>
      </c>
      <c r="M60" s="545">
        <v>0.73</v>
      </c>
      <c r="CD60" s="616">
        <f t="shared" si="65"/>
        <v>0</v>
      </c>
    </row>
    <row r="61" spans="2:82" x14ac:dyDescent="0.25">
      <c r="B61" s="338">
        <f>+IF(OR(CD61=0,CD61=1),0,COUNTIF(CD$15:CD61,CD61))</f>
        <v>0</v>
      </c>
      <c r="L61" s="545">
        <f t="shared" si="66"/>
        <v>288</v>
      </c>
      <c r="M61" s="545">
        <v>0.72</v>
      </c>
      <c r="CD61" s="616">
        <f t="shared" si="65"/>
        <v>0</v>
      </c>
    </row>
    <row r="62" spans="2:82" x14ac:dyDescent="0.25">
      <c r="B62" s="338">
        <f>+IF(OR(CD62=0,CD62=1),0,COUNTIF(CD$15:CD62,CD62))</f>
        <v>0</v>
      </c>
      <c r="L62" s="545">
        <f t="shared" si="66"/>
        <v>284</v>
      </c>
      <c r="M62" s="545">
        <v>0.71</v>
      </c>
      <c r="CD62" s="616">
        <f t="shared" si="65"/>
        <v>0</v>
      </c>
    </row>
    <row r="63" spans="2:82" x14ac:dyDescent="0.25">
      <c r="B63" s="338">
        <f>+IF(OR(CD63=0,CD63=1),0,COUNTIF(CD$15:CD63,CD63))</f>
        <v>0</v>
      </c>
      <c r="L63" s="545">
        <f t="shared" si="66"/>
        <v>280</v>
      </c>
      <c r="M63" s="545">
        <v>0.7</v>
      </c>
      <c r="CD63" s="616">
        <f t="shared" si="65"/>
        <v>0</v>
      </c>
    </row>
    <row r="64" spans="2:82" x14ac:dyDescent="0.25">
      <c r="B64" s="338">
        <f>+IF(OR(CD64=0,CD64=1),0,COUNTIF(CD$15:CD64,CD64))</f>
        <v>0</v>
      </c>
      <c r="L64" s="545">
        <f t="shared" si="66"/>
        <v>276</v>
      </c>
      <c r="M64" s="545">
        <v>0.69</v>
      </c>
      <c r="CD64" s="616">
        <f t="shared" si="65"/>
        <v>0</v>
      </c>
    </row>
    <row r="65" spans="2:82" x14ac:dyDescent="0.25">
      <c r="B65" s="338">
        <f>+IF(OR(CD65=0,CD65=1),0,COUNTIF(CD$15:CD65,CD65))</f>
        <v>0</v>
      </c>
      <c r="L65" s="545">
        <f t="shared" si="66"/>
        <v>272</v>
      </c>
      <c r="M65" s="545">
        <v>0.68</v>
      </c>
      <c r="CD65" s="616">
        <f t="shared" si="65"/>
        <v>0</v>
      </c>
    </row>
    <row r="66" spans="2:82" x14ac:dyDescent="0.25">
      <c r="B66" s="338">
        <f>+IF(OR(CD66=0,CD66=1),0,COUNTIF(CD$15:CD66,CD66))</f>
        <v>0</v>
      </c>
      <c r="L66" s="545">
        <f t="shared" si="66"/>
        <v>268</v>
      </c>
      <c r="M66" s="545">
        <v>0.67</v>
      </c>
      <c r="CD66" s="616">
        <f t="shared" si="65"/>
        <v>0</v>
      </c>
    </row>
    <row r="67" spans="2:82" x14ac:dyDescent="0.25">
      <c r="B67" s="338">
        <f>+IF(OR(CD67=0,CD67=1),0,COUNTIF(CD$15:CD67,CD67))</f>
        <v>0</v>
      </c>
      <c r="L67" s="545">
        <f t="shared" si="66"/>
        <v>264</v>
      </c>
      <c r="M67" s="545">
        <v>0.66</v>
      </c>
      <c r="CD67" s="616">
        <f t="shared" si="65"/>
        <v>0</v>
      </c>
    </row>
    <row r="68" spans="2:82" x14ac:dyDescent="0.25">
      <c r="B68" s="338">
        <f>+IF(OR(CD68=0,CD68=1),0,COUNTIF(CD$15:CD68,CD68))</f>
        <v>0</v>
      </c>
      <c r="L68" s="545">
        <f t="shared" si="66"/>
        <v>260</v>
      </c>
      <c r="M68" s="545">
        <v>0.65</v>
      </c>
      <c r="CD68" s="616">
        <f t="shared" si="65"/>
        <v>0</v>
      </c>
    </row>
    <row r="69" spans="2:82" x14ac:dyDescent="0.25">
      <c r="B69" s="338">
        <f>+IF(OR(CD69=0,CD69=1),0,COUNTIF(CD$15:CD69,CD69))</f>
        <v>0</v>
      </c>
      <c r="L69" s="545">
        <f t="shared" si="66"/>
        <v>256</v>
      </c>
      <c r="M69" s="545">
        <v>0.64</v>
      </c>
      <c r="CD69" s="616">
        <f t="shared" si="65"/>
        <v>0</v>
      </c>
    </row>
    <row r="70" spans="2:82" x14ac:dyDescent="0.25">
      <c r="B70" s="338">
        <f>+IF(OR(CD70=0,CD70=1),0,COUNTIF(CD$15:CD70,CD70))</f>
        <v>0</v>
      </c>
      <c r="L70" s="545">
        <f t="shared" si="66"/>
        <v>252</v>
      </c>
      <c r="M70" s="545">
        <v>0.63</v>
      </c>
      <c r="CD70" s="616">
        <f t="shared" si="65"/>
        <v>0</v>
      </c>
    </row>
    <row r="71" spans="2:82" x14ac:dyDescent="0.25">
      <c r="B71" s="338">
        <f>+IF(OR(CD71=0,CD71=1),0,COUNTIF(CD$15:CD71,CD71))</f>
        <v>0</v>
      </c>
      <c r="L71" s="545">
        <f t="shared" si="66"/>
        <v>248</v>
      </c>
      <c r="M71" s="545">
        <v>0.62</v>
      </c>
      <c r="CD71" s="616">
        <f t="shared" si="65"/>
        <v>0</v>
      </c>
    </row>
    <row r="72" spans="2:82" x14ac:dyDescent="0.25">
      <c r="B72" s="338">
        <f>+IF(OR(CD72=0,CD72=1),0,COUNTIF(CD$15:CD72,CD72))</f>
        <v>0</v>
      </c>
      <c r="L72" s="545">
        <f t="shared" si="66"/>
        <v>244</v>
      </c>
      <c r="M72" s="545">
        <v>0.61</v>
      </c>
      <c r="CD72" s="616">
        <f t="shared" si="65"/>
        <v>0</v>
      </c>
    </row>
    <row r="73" spans="2:82" x14ac:dyDescent="0.25">
      <c r="B73" s="338">
        <f>+IF(OR(CD73=0,CD73=1),0,COUNTIF(CD$15:CD73,CD73))</f>
        <v>0</v>
      </c>
      <c r="L73" s="545">
        <f t="shared" si="66"/>
        <v>240</v>
      </c>
      <c r="M73" s="545">
        <v>0.6</v>
      </c>
      <c r="CD73" s="616">
        <f t="shared" si="65"/>
        <v>0</v>
      </c>
    </row>
    <row r="74" spans="2:82" x14ac:dyDescent="0.25">
      <c r="B74" s="338">
        <f>+IF(OR(CD74=0,CD74=1),0,COUNTIF(CD$15:CD74,CD74))</f>
        <v>0</v>
      </c>
      <c r="L74" s="545">
        <f t="shared" si="66"/>
        <v>236</v>
      </c>
      <c r="M74" s="545">
        <v>0.59</v>
      </c>
      <c r="CD74" s="616">
        <f t="shared" si="65"/>
        <v>0</v>
      </c>
    </row>
    <row r="75" spans="2:82" x14ac:dyDescent="0.25">
      <c r="B75" s="338">
        <f>+IF(OR(CD75=0,CD75=1),0,COUNTIF(CD$15:CD75,CD75))</f>
        <v>0</v>
      </c>
      <c r="L75" s="545">
        <f t="shared" si="66"/>
        <v>231.99999999999997</v>
      </c>
      <c r="M75" s="545">
        <v>0.57999999999999996</v>
      </c>
      <c r="CD75" s="616">
        <f t="shared" si="65"/>
        <v>0</v>
      </c>
    </row>
    <row r="76" spans="2:82" x14ac:dyDescent="0.25">
      <c r="B76" s="338">
        <f>+IF(OR(CD76=0,CD76=1),0,COUNTIF(CD$15:CD76,CD76))</f>
        <v>0</v>
      </c>
      <c r="L76" s="545">
        <f t="shared" si="66"/>
        <v>227.99999999999997</v>
      </c>
      <c r="M76" s="545">
        <v>0.56999999999999995</v>
      </c>
      <c r="CD76" s="616">
        <f t="shared" ref="CD76:CD139" si="68">LEN(C76)-LEN(SUBSTITUTE(C76,IF(ISNUMBER(FIND(".",C76)),".",","),""))</f>
        <v>0</v>
      </c>
    </row>
    <row r="77" spans="2:82" x14ac:dyDescent="0.25">
      <c r="B77" s="338">
        <f>+IF(OR(CD77=0,CD77=1),0,COUNTIF(CD$15:CD77,CD77))</f>
        <v>0</v>
      </c>
      <c r="L77" s="545">
        <f t="shared" si="66"/>
        <v>224.00000000000003</v>
      </c>
      <c r="M77" s="545">
        <v>0.56000000000000005</v>
      </c>
      <c r="CD77" s="616">
        <f t="shared" si="68"/>
        <v>0</v>
      </c>
    </row>
    <row r="78" spans="2:82" x14ac:dyDescent="0.25">
      <c r="B78" s="338">
        <f>+IF(OR(CD78=0,CD78=1),0,COUNTIF(CD$15:CD78,CD78))</f>
        <v>0</v>
      </c>
      <c r="L78" s="545">
        <f t="shared" si="66"/>
        <v>220.00000000000003</v>
      </c>
      <c r="M78" s="545">
        <v>0.55000000000000004</v>
      </c>
      <c r="CD78" s="616">
        <f t="shared" si="68"/>
        <v>0</v>
      </c>
    </row>
    <row r="79" spans="2:82" x14ac:dyDescent="0.25">
      <c r="B79" s="338">
        <f>+IF(OR(CD79=0,CD79=1),0,COUNTIF(CD$15:CD79,CD79))</f>
        <v>0</v>
      </c>
      <c r="L79" s="545">
        <f t="shared" si="66"/>
        <v>216</v>
      </c>
      <c r="M79" s="545">
        <v>0.54</v>
      </c>
      <c r="CD79" s="616">
        <f t="shared" si="68"/>
        <v>0</v>
      </c>
    </row>
    <row r="80" spans="2:82" x14ac:dyDescent="0.25">
      <c r="B80" s="338">
        <f>+IF(OR(CD80=0,CD80=1),0,COUNTIF(CD$15:CD80,CD80))</f>
        <v>0</v>
      </c>
      <c r="L80" s="545">
        <f t="shared" si="66"/>
        <v>212</v>
      </c>
      <c r="M80" s="545">
        <v>0.53</v>
      </c>
      <c r="CD80" s="616">
        <f t="shared" si="68"/>
        <v>0</v>
      </c>
    </row>
    <row r="81" spans="2:82" x14ac:dyDescent="0.25">
      <c r="B81" s="338">
        <f>+IF(OR(CD81=0,CD81=1),0,COUNTIF(CD$15:CD81,CD81))</f>
        <v>0</v>
      </c>
      <c r="L81" s="545">
        <f t="shared" si="66"/>
        <v>208</v>
      </c>
      <c r="M81" s="545">
        <v>0.52</v>
      </c>
      <c r="CD81" s="616">
        <f t="shared" si="68"/>
        <v>0</v>
      </c>
    </row>
    <row r="82" spans="2:82" x14ac:dyDescent="0.25">
      <c r="B82" s="338">
        <f>+IF(OR(CD82=0,CD82=1),0,COUNTIF(CD$15:CD82,CD82))</f>
        <v>0</v>
      </c>
      <c r="L82" s="545">
        <f t="shared" si="66"/>
        <v>204</v>
      </c>
      <c r="M82" s="545">
        <v>0.51</v>
      </c>
      <c r="CD82" s="616">
        <f t="shared" si="68"/>
        <v>0</v>
      </c>
    </row>
    <row r="83" spans="2:82" x14ac:dyDescent="0.25">
      <c r="B83" s="338">
        <f>+IF(OR(CD83=0,CD83=1),0,COUNTIF(CD$15:CD83,CD83))</f>
        <v>0</v>
      </c>
      <c r="L83" s="545">
        <f t="shared" si="66"/>
        <v>200</v>
      </c>
      <c r="M83" s="545">
        <v>0.5</v>
      </c>
      <c r="CD83" s="616">
        <f t="shared" si="68"/>
        <v>0</v>
      </c>
    </row>
    <row r="84" spans="2:82" x14ac:dyDescent="0.25">
      <c r="B84" s="338">
        <f>+IF(OR(CD84=0,CD84=1),0,COUNTIF(CD$15:CD84,CD84))</f>
        <v>0</v>
      </c>
      <c r="CD84" s="616">
        <f t="shared" si="68"/>
        <v>0</v>
      </c>
    </row>
    <row r="85" spans="2:82" x14ac:dyDescent="0.25">
      <c r="B85" s="338">
        <f>+IF(OR(CD85=0,CD85=1),0,COUNTIF(CD$15:CD85,CD85))</f>
        <v>0</v>
      </c>
      <c r="CD85" s="616">
        <f t="shared" si="68"/>
        <v>0</v>
      </c>
    </row>
    <row r="86" spans="2:82" x14ac:dyDescent="0.25">
      <c r="B86" s="338">
        <f>+IF(OR(CD86=0,CD86=1),0,COUNTIF(CD$15:CD86,CD86))</f>
        <v>0</v>
      </c>
      <c r="CD86" s="616">
        <f t="shared" si="68"/>
        <v>0</v>
      </c>
    </row>
    <row r="87" spans="2:82" x14ac:dyDescent="0.25">
      <c r="B87" s="338">
        <f>+IF(OR(CD87=0,CD87=1),0,COUNTIF(CD$15:CD87,CD87))</f>
        <v>0</v>
      </c>
      <c r="CD87" s="616">
        <f t="shared" si="68"/>
        <v>0</v>
      </c>
    </row>
    <row r="88" spans="2:82" x14ac:dyDescent="0.25">
      <c r="B88" s="338">
        <f>+IF(OR(CD88=0,CD88=1),0,COUNTIF(CD$15:CD88,CD88))</f>
        <v>0</v>
      </c>
      <c r="CD88" s="616">
        <f t="shared" si="68"/>
        <v>0</v>
      </c>
    </row>
    <row r="89" spans="2:82" x14ac:dyDescent="0.25">
      <c r="B89" s="338">
        <f>+IF(OR(CD89=0,CD89=1),0,COUNTIF(CD$15:CD89,CD89))</f>
        <v>0</v>
      </c>
      <c r="CD89" s="616">
        <f t="shared" si="68"/>
        <v>0</v>
      </c>
    </row>
    <row r="90" spans="2:82" x14ac:dyDescent="0.25">
      <c r="B90" s="338">
        <f>+IF(OR(CD90=0,CD90=1),0,COUNTIF(CD$15:CD90,CD90))</f>
        <v>0</v>
      </c>
      <c r="CD90" s="616">
        <f t="shared" si="68"/>
        <v>0</v>
      </c>
    </row>
    <row r="91" spans="2:82" x14ac:dyDescent="0.25">
      <c r="B91" s="338">
        <f>+IF(OR(CD91=0,CD91=1),0,COUNTIF(CD$15:CD91,CD91))</f>
        <v>0</v>
      </c>
      <c r="CD91" s="616">
        <f t="shared" si="68"/>
        <v>0</v>
      </c>
    </row>
    <row r="92" spans="2:82" x14ac:dyDescent="0.25">
      <c r="B92" s="338">
        <f>+IF(OR(CD92=0,CD92=1),0,COUNTIF(CD$15:CD92,CD92))</f>
        <v>0</v>
      </c>
      <c r="CD92" s="616">
        <f t="shared" si="68"/>
        <v>0</v>
      </c>
    </row>
    <row r="93" spans="2:82" x14ac:dyDescent="0.25">
      <c r="B93" s="338">
        <f>+IF(OR(CD93=0,CD93=1),0,COUNTIF(CD$15:CD93,CD93))</f>
        <v>0</v>
      </c>
      <c r="CD93" s="616">
        <f t="shared" si="68"/>
        <v>0</v>
      </c>
    </row>
    <row r="94" spans="2:82" x14ac:dyDescent="0.25">
      <c r="B94" s="338">
        <f>+IF(OR(CD94=0,CD94=1),0,COUNTIF(CD$15:CD94,CD94))</f>
        <v>0</v>
      </c>
      <c r="CD94" s="616">
        <f t="shared" si="68"/>
        <v>0</v>
      </c>
    </row>
    <row r="95" spans="2:82" x14ac:dyDescent="0.25">
      <c r="B95" s="338">
        <f>+IF(OR(CD95=0,CD95=1),0,COUNTIF(CD$15:CD95,CD95))</f>
        <v>0</v>
      </c>
      <c r="CD95" s="616">
        <f t="shared" si="68"/>
        <v>0</v>
      </c>
    </row>
    <row r="96" spans="2:82" x14ac:dyDescent="0.25">
      <c r="B96" s="338">
        <f>+IF(OR(CD96=0,CD96=1),0,COUNTIF(CD$15:CD96,CD96))</f>
        <v>0</v>
      </c>
      <c r="CD96" s="616">
        <f t="shared" si="68"/>
        <v>0</v>
      </c>
    </row>
    <row r="97" spans="2:82" x14ac:dyDescent="0.25">
      <c r="B97" s="338">
        <f>+IF(OR(CD97=0,CD97=1),0,COUNTIF(CD$15:CD97,CD97))</f>
        <v>0</v>
      </c>
      <c r="CD97" s="616">
        <f t="shared" si="68"/>
        <v>0</v>
      </c>
    </row>
    <row r="98" spans="2:82" x14ac:dyDescent="0.25">
      <c r="B98" s="338">
        <f>+IF(OR(CD98=0,CD98=1),0,COUNTIF(CD$15:CD98,CD98))</f>
        <v>0</v>
      </c>
      <c r="CD98" s="616">
        <f t="shared" si="68"/>
        <v>0</v>
      </c>
    </row>
    <row r="99" spans="2:82" x14ac:dyDescent="0.25">
      <c r="B99" s="338">
        <f>+IF(OR(CD99=0,CD99=1),0,COUNTIF(CD$15:CD99,CD99))</f>
        <v>0</v>
      </c>
      <c r="CD99" s="616">
        <f t="shared" si="68"/>
        <v>0</v>
      </c>
    </row>
    <row r="100" spans="2:82" x14ac:dyDescent="0.25">
      <c r="B100" s="338">
        <f>+IF(OR(CD100=0,CD100=1),0,COUNTIF(CD$15:CD100,CD100))</f>
        <v>0</v>
      </c>
      <c r="CD100" s="616">
        <f t="shared" si="68"/>
        <v>0</v>
      </c>
    </row>
    <row r="101" spans="2:82" x14ac:dyDescent="0.25">
      <c r="B101" s="338">
        <f>+IF(OR(CD101=0,CD101=1),0,COUNTIF(CD$15:CD101,CD101))</f>
        <v>0</v>
      </c>
      <c r="CD101" s="616">
        <f t="shared" si="68"/>
        <v>0</v>
      </c>
    </row>
    <row r="102" spans="2:82" x14ac:dyDescent="0.25">
      <c r="B102" s="338">
        <f>+IF(OR(CD102=0,CD102=1),0,COUNTIF(CD$15:CD102,CD102))</f>
        <v>0</v>
      </c>
      <c r="CD102" s="616">
        <f t="shared" si="68"/>
        <v>0</v>
      </c>
    </row>
    <row r="103" spans="2:82" x14ac:dyDescent="0.25">
      <c r="B103" s="338">
        <f>+IF(OR(CD103=0,CD103=1),0,COUNTIF(CD$15:CD103,CD103))</f>
        <v>0</v>
      </c>
      <c r="CD103" s="616">
        <f t="shared" si="68"/>
        <v>0</v>
      </c>
    </row>
    <row r="104" spans="2:82" x14ac:dyDescent="0.25">
      <c r="B104" s="338">
        <f>+IF(OR(CD104=0,CD104=1),0,COUNTIF(CD$15:CD104,CD104))</f>
        <v>0</v>
      </c>
      <c r="CD104" s="616">
        <f t="shared" si="68"/>
        <v>0</v>
      </c>
    </row>
    <row r="105" spans="2:82" x14ac:dyDescent="0.25">
      <c r="B105" s="338">
        <f>+IF(OR(CD105=0,CD105=1),0,COUNTIF(CD$15:CD105,CD105))</f>
        <v>0</v>
      </c>
      <c r="CD105" s="616">
        <f t="shared" si="68"/>
        <v>0</v>
      </c>
    </row>
    <row r="106" spans="2:82" x14ac:dyDescent="0.25">
      <c r="B106" s="338">
        <f>+IF(OR(CD106=0,CD106=1),0,COUNTIF(CD$15:CD106,CD106))</f>
        <v>0</v>
      </c>
      <c r="CD106" s="616">
        <f t="shared" si="68"/>
        <v>0</v>
      </c>
    </row>
    <row r="107" spans="2:82" x14ac:dyDescent="0.25">
      <c r="B107" s="338">
        <f>+IF(OR(CD107=0,CD107=1),0,COUNTIF(CD$15:CD107,CD107))</f>
        <v>0</v>
      </c>
      <c r="CD107" s="616">
        <f t="shared" si="68"/>
        <v>0</v>
      </c>
    </row>
    <row r="108" spans="2:82" x14ac:dyDescent="0.25">
      <c r="B108" s="338">
        <f>+IF(OR(CD108=0,CD108=1),0,COUNTIF(CD$15:CD108,CD108))</f>
        <v>0</v>
      </c>
      <c r="CD108" s="616">
        <f t="shared" si="68"/>
        <v>0</v>
      </c>
    </row>
    <row r="109" spans="2:82" x14ac:dyDescent="0.25">
      <c r="B109" s="338">
        <f>+IF(OR(CD109=0,CD109=1),0,COUNTIF(CD$15:CD109,CD109))</f>
        <v>0</v>
      </c>
      <c r="CD109" s="616">
        <f t="shared" si="68"/>
        <v>0</v>
      </c>
    </row>
    <row r="110" spans="2:82" x14ac:dyDescent="0.25">
      <c r="B110" s="338">
        <f>+IF(OR(CD110=0,CD110=1),0,COUNTIF(CD$15:CD110,CD110))</f>
        <v>0</v>
      </c>
      <c r="CD110" s="616">
        <f t="shared" si="68"/>
        <v>0</v>
      </c>
    </row>
    <row r="111" spans="2:82" x14ac:dyDescent="0.25">
      <c r="B111" s="338">
        <f>+IF(OR(CD111=0,CD111=1),0,COUNTIF(CD$15:CD111,CD111))</f>
        <v>0</v>
      </c>
      <c r="CD111" s="616">
        <f t="shared" si="68"/>
        <v>0</v>
      </c>
    </row>
    <row r="112" spans="2:82" x14ac:dyDescent="0.25">
      <c r="B112" s="338">
        <f>+IF(OR(CD112=0,CD112=1),0,COUNTIF(CD$15:CD112,CD112))</f>
        <v>0</v>
      </c>
      <c r="CD112" s="616">
        <f t="shared" si="68"/>
        <v>0</v>
      </c>
    </row>
    <row r="113" spans="2:82" x14ac:dyDescent="0.25">
      <c r="B113" s="338">
        <f>+IF(OR(CD113=0,CD113=1),0,COUNTIF(CD$15:CD113,CD113))</f>
        <v>0</v>
      </c>
      <c r="CD113" s="616">
        <f t="shared" si="68"/>
        <v>0</v>
      </c>
    </row>
    <row r="114" spans="2:82" x14ac:dyDescent="0.25">
      <c r="B114" s="338">
        <f>+IF(OR(CD114=0,CD114=1),0,COUNTIF(CD$15:CD114,CD114))</f>
        <v>0</v>
      </c>
      <c r="CD114" s="616">
        <f t="shared" si="68"/>
        <v>0</v>
      </c>
    </row>
    <row r="115" spans="2:82" x14ac:dyDescent="0.25">
      <c r="B115" s="338">
        <f>+IF(OR(CD115=0,CD115=1),0,COUNTIF(CD$15:CD115,CD115))</f>
        <v>0</v>
      </c>
      <c r="CD115" s="616">
        <f t="shared" si="68"/>
        <v>0</v>
      </c>
    </row>
    <row r="116" spans="2:82" x14ac:dyDescent="0.25">
      <c r="B116" s="338">
        <f>+IF(OR(CD116=0,CD116=1),0,COUNTIF(CD$15:CD116,CD116))</f>
        <v>0</v>
      </c>
      <c r="CD116" s="616">
        <f t="shared" si="68"/>
        <v>0</v>
      </c>
    </row>
    <row r="117" spans="2:82" x14ac:dyDescent="0.25">
      <c r="B117" s="338">
        <f>+IF(OR(CD117=0,CD117=1),0,COUNTIF(CD$15:CD117,CD117))</f>
        <v>0</v>
      </c>
      <c r="CD117" s="616">
        <f t="shared" si="68"/>
        <v>0</v>
      </c>
    </row>
    <row r="118" spans="2:82" x14ac:dyDescent="0.25">
      <c r="B118" s="338">
        <f>+IF(OR(CD118=0,CD118=1),0,COUNTIF(CD$15:CD118,CD118))</f>
        <v>0</v>
      </c>
      <c r="CD118" s="616">
        <f t="shared" si="68"/>
        <v>0</v>
      </c>
    </row>
    <row r="119" spans="2:82" x14ac:dyDescent="0.25">
      <c r="B119" s="338">
        <f>+IF(OR(CD119=0,CD119=1),0,COUNTIF(CD$15:CD119,CD119))</f>
        <v>0</v>
      </c>
      <c r="CD119" s="616">
        <f t="shared" si="68"/>
        <v>0</v>
      </c>
    </row>
    <row r="120" spans="2:82" x14ac:dyDescent="0.25">
      <c r="B120" s="338">
        <f>+IF(OR(CD120=0,CD120=1),0,COUNTIF(CD$15:CD120,CD120))</f>
        <v>0</v>
      </c>
      <c r="CD120" s="616">
        <f t="shared" si="68"/>
        <v>0</v>
      </c>
    </row>
    <row r="121" spans="2:82" x14ac:dyDescent="0.25">
      <c r="B121" s="338">
        <f>+IF(OR(CD121=0,CD121=1),0,COUNTIF(CD$15:CD121,CD121))</f>
        <v>0</v>
      </c>
      <c r="CD121" s="616">
        <f t="shared" si="68"/>
        <v>0</v>
      </c>
    </row>
    <row r="122" spans="2:82" x14ac:dyDescent="0.25">
      <c r="B122" s="338">
        <f>+IF(OR(CD122=0,CD122=1),0,COUNTIF(CD$15:CD122,CD122))</f>
        <v>0</v>
      </c>
      <c r="CD122" s="616">
        <f t="shared" si="68"/>
        <v>0</v>
      </c>
    </row>
    <row r="123" spans="2:82" x14ac:dyDescent="0.25">
      <c r="B123" s="338">
        <f>+IF(OR(CD123=0,CD123=1),0,COUNTIF(CD$15:CD123,CD123))</f>
        <v>0</v>
      </c>
      <c r="CD123" s="616">
        <f t="shared" si="68"/>
        <v>0</v>
      </c>
    </row>
    <row r="124" spans="2:82" x14ac:dyDescent="0.25">
      <c r="B124" s="338">
        <f>+IF(OR(CD124=0,CD124=1),0,COUNTIF(CD$15:CD124,CD124))</f>
        <v>0</v>
      </c>
      <c r="CD124" s="616">
        <f t="shared" si="68"/>
        <v>0</v>
      </c>
    </row>
    <row r="125" spans="2:82" x14ac:dyDescent="0.25">
      <c r="B125" s="338">
        <f>+IF(OR(CD125=0,CD125=1),0,COUNTIF(CD$15:CD125,CD125))</f>
        <v>0</v>
      </c>
      <c r="CD125" s="616">
        <f t="shared" si="68"/>
        <v>0</v>
      </c>
    </row>
    <row r="126" spans="2:82" x14ac:dyDescent="0.25">
      <c r="B126" s="338">
        <f>+IF(OR(CD126=0,CD126=1),0,COUNTIF(CD$15:CD126,CD126))</f>
        <v>0</v>
      </c>
      <c r="CD126" s="616">
        <f t="shared" si="68"/>
        <v>0</v>
      </c>
    </row>
    <row r="127" spans="2:82" x14ac:dyDescent="0.25">
      <c r="B127" s="338">
        <f>+IF(OR(CD127=0,CD127=1),0,COUNTIF(CD$15:CD127,CD127))</f>
        <v>0</v>
      </c>
      <c r="CD127" s="616">
        <f t="shared" si="68"/>
        <v>0</v>
      </c>
    </row>
    <row r="128" spans="2:82" x14ac:dyDescent="0.25">
      <c r="B128" s="338">
        <f>+IF(OR(CD128=0,CD128=1),0,COUNTIF(CD$15:CD128,CD128))</f>
        <v>0</v>
      </c>
      <c r="CD128" s="616">
        <f t="shared" si="68"/>
        <v>0</v>
      </c>
    </row>
    <row r="129" spans="2:82" x14ac:dyDescent="0.25">
      <c r="B129" s="338">
        <f>+IF(OR(CD129=0,CD129=1),0,COUNTIF(CD$15:CD129,CD129))</f>
        <v>0</v>
      </c>
      <c r="CD129" s="616">
        <f t="shared" si="68"/>
        <v>0</v>
      </c>
    </row>
    <row r="130" spans="2:82" x14ac:dyDescent="0.25">
      <c r="B130" s="338">
        <f>+IF(OR(CD130=0,CD130=1),0,COUNTIF(CD$15:CD130,CD130))</f>
        <v>0</v>
      </c>
      <c r="CD130" s="616">
        <f t="shared" si="68"/>
        <v>0</v>
      </c>
    </row>
    <row r="131" spans="2:82" x14ac:dyDescent="0.25">
      <c r="B131" s="338">
        <f>+IF(OR(CD131=0,CD131=1),0,COUNTIF(CD$15:CD131,CD131))</f>
        <v>0</v>
      </c>
      <c r="CD131" s="616">
        <f t="shared" si="68"/>
        <v>0</v>
      </c>
    </row>
    <row r="132" spans="2:82" x14ac:dyDescent="0.25">
      <c r="B132" s="338">
        <f>+IF(OR(CD132=0,CD132=1),0,COUNTIF(CD$15:CD132,CD132))</f>
        <v>0</v>
      </c>
      <c r="CD132" s="616">
        <f t="shared" si="68"/>
        <v>0</v>
      </c>
    </row>
    <row r="133" spans="2:82" x14ac:dyDescent="0.25">
      <c r="B133" s="338">
        <f>+IF(OR(CD133=0,CD133=1),0,COUNTIF(CD$15:CD133,CD133))</f>
        <v>0</v>
      </c>
      <c r="CD133" s="616">
        <f t="shared" si="68"/>
        <v>0</v>
      </c>
    </row>
    <row r="134" spans="2:82" x14ac:dyDescent="0.25">
      <c r="B134" s="338">
        <f>+IF(OR(CD134=0,CD134=1),0,COUNTIF(CD$15:CD134,CD134))</f>
        <v>0</v>
      </c>
      <c r="CD134" s="616">
        <f t="shared" si="68"/>
        <v>0</v>
      </c>
    </row>
    <row r="135" spans="2:82" x14ac:dyDescent="0.25">
      <c r="B135" s="338">
        <f>+IF(OR(CD135=0,CD135=1),0,COUNTIF(CD$15:CD135,CD135))</f>
        <v>0</v>
      </c>
      <c r="CD135" s="616">
        <f t="shared" si="68"/>
        <v>0</v>
      </c>
    </row>
    <row r="136" spans="2:82" x14ac:dyDescent="0.25">
      <c r="B136" s="338">
        <f>+IF(OR(CD136=0,CD136=1),0,COUNTIF(CD$15:CD136,CD136))</f>
        <v>0</v>
      </c>
      <c r="CD136" s="616">
        <f t="shared" si="68"/>
        <v>0</v>
      </c>
    </row>
    <row r="137" spans="2:82" x14ac:dyDescent="0.25">
      <c r="B137" s="338">
        <f>+IF(OR(CD137=0,CD137=1),0,COUNTIF(CD$15:CD137,CD137))</f>
        <v>0</v>
      </c>
      <c r="CD137" s="616">
        <f t="shared" si="68"/>
        <v>0</v>
      </c>
    </row>
    <row r="138" spans="2:82" x14ac:dyDescent="0.25">
      <c r="B138" s="338">
        <f>+IF(OR(CD138=0,CD138=1),0,COUNTIF(CD$15:CD138,CD138))</f>
        <v>0</v>
      </c>
      <c r="CD138" s="616">
        <f t="shared" si="68"/>
        <v>0</v>
      </c>
    </row>
    <row r="139" spans="2:82" x14ac:dyDescent="0.25">
      <c r="B139" s="338">
        <f>+IF(OR(CD139=0,CD139=1),0,COUNTIF(CD$15:CD139,CD139))</f>
        <v>0</v>
      </c>
      <c r="CD139" s="616">
        <f t="shared" si="68"/>
        <v>0</v>
      </c>
    </row>
    <row r="140" spans="2:82" x14ac:dyDescent="0.25">
      <c r="B140" s="338">
        <f>+IF(OR(CD140=0,CD140=1),0,COUNTIF(CD$15:CD140,CD140))</f>
        <v>0</v>
      </c>
      <c r="CD140" s="616">
        <f t="shared" ref="CD140:CD155" si="69">LEN(C140)-LEN(SUBSTITUTE(C140,IF(ISNUMBER(FIND(".",C140)),".",","),""))</f>
        <v>0</v>
      </c>
    </row>
    <row r="141" spans="2:82" x14ac:dyDescent="0.25">
      <c r="B141" s="338">
        <f>+IF(OR(CD141=0,CD141=1),0,COUNTIF(CD$15:CD141,CD141))</f>
        <v>0</v>
      </c>
      <c r="CD141" s="616">
        <f t="shared" si="69"/>
        <v>0</v>
      </c>
    </row>
    <row r="142" spans="2:82" x14ac:dyDescent="0.25">
      <c r="B142" s="338">
        <f>+IF(OR(CD142=0,CD142=1),0,COUNTIF(CD$15:CD142,CD142))</f>
        <v>0</v>
      </c>
      <c r="CD142" s="616">
        <f t="shared" si="69"/>
        <v>0</v>
      </c>
    </row>
    <row r="143" spans="2:82" x14ac:dyDescent="0.25">
      <c r="B143" s="338">
        <f>+IF(OR(CD143=0,CD143=1),0,COUNTIF(CD$15:CD143,CD143))</f>
        <v>0</v>
      </c>
      <c r="CD143" s="616">
        <f t="shared" si="69"/>
        <v>0</v>
      </c>
    </row>
    <row r="144" spans="2:82" x14ac:dyDescent="0.25">
      <c r="B144" s="338">
        <f>+IF(OR(CD144=0,CD144=1),0,COUNTIF(CD$15:CD144,CD144))</f>
        <v>0</v>
      </c>
      <c r="CD144" s="616">
        <f t="shared" si="69"/>
        <v>0</v>
      </c>
    </row>
    <row r="145" spans="2:82" x14ac:dyDescent="0.25">
      <c r="B145" s="338">
        <f>+IF(OR(CD145=0,CD145=1),0,COUNTIF(CD$15:CD145,CD145))</f>
        <v>0</v>
      </c>
      <c r="CD145" s="616">
        <f t="shared" si="69"/>
        <v>0</v>
      </c>
    </row>
    <row r="146" spans="2:82" x14ac:dyDescent="0.25">
      <c r="B146" s="338">
        <f>+IF(OR(CD146=0,CD146=1),0,COUNTIF(CD$15:CD146,CD146))</f>
        <v>0</v>
      </c>
      <c r="CD146" s="616">
        <f t="shared" si="69"/>
        <v>0</v>
      </c>
    </row>
    <row r="147" spans="2:82" x14ac:dyDescent="0.25">
      <c r="B147" s="338">
        <f>+IF(OR(CD147=0,CD147=1),0,COUNTIF(CD$15:CD147,CD147))</f>
        <v>0</v>
      </c>
      <c r="CD147" s="616">
        <f t="shared" si="69"/>
        <v>0</v>
      </c>
    </row>
    <row r="148" spans="2:82" x14ac:dyDescent="0.25">
      <c r="B148" s="338">
        <f>+IF(OR(CD148=0,CD148=1),0,COUNTIF(CD$15:CD148,CD148))</f>
        <v>0</v>
      </c>
      <c r="CD148" s="616">
        <f t="shared" si="69"/>
        <v>0</v>
      </c>
    </row>
    <row r="149" spans="2:82" x14ac:dyDescent="0.25">
      <c r="B149" s="338">
        <f>+IF(OR(CD149=0,CD149=1),0,COUNTIF(CD$15:CD149,CD149))</f>
        <v>0</v>
      </c>
      <c r="CD149" s="616">
        <f t="shared" si="69"/>
        <v>0</v>
      </c>
    </row>
    <row r="150" spans="2:82" x14ac:dyDescent="0.25">
      <c r="B150" s="338">
        <f>+IF(OR(CD150=0,CD150=1),0,COUNTIF(CD$15:CD150,CD150))</f>
        <v>0</v>
      </c>
      <c r="CD150" s="616">
        <f t="shared" si="69"/>
        <v>0</v>
      </c>
    </row>
    <row r="151" spans="2:82" x14ac:dyDescent="0.25">
      <c r="B151" s="338">
        <f>+IF(OR(CD151=0,CD151=1),0,COUNTIF(CD$15:CD151,CD151))</f>
        <v>0</v>
      </c>
      <c r="CD151" s="616">
        <f t="shared" si="69"/>
        <v>0</v>
      </c>
    </row>
    <row r="152" spans="2:82" x14ac:dyDescent="0.25">
      <c r="B152" s="338">
        <f>+IF(OR(CD152=0,CD152=1),0,COUNTIF(CD$15:CD152,CD152))</f>
        <v>0</v>
      </c>
      <c r="CD152" s="616">
        <f t="shared" si="69"/>
        <v>0</v>
      </c>
    </row>
    <row r="153" spans="2:82" x14ac:dyDescent="0.25">
      <c r="B153" s="338">
        <f>+IF(OR(CD153=0,CD153=1),0,COUNTIF(CD$15:CD153,CD153))</f>
        <v>0</v>
      </c>
      <c r="CD153" s="616">
        <f t="shared" si="69"/>
        <v>0</v>
      </c>
    </row>
    <row r="154" spans="2:82" x14ac:dyDescent="0.25">
      <c r="B154" s="338">
        <f>+IF(OR(CD154=0,CD154=1),0,COUNTIF(CD$15:CD154,CD154))</f>
        <v>0</v>
      </c>
      <c r="CD154" s="616">
        <f t="shared" si="69"/>
        <v>0</v>
      </c>
    </row>
    <row r="155" spans="2:82" x14ac:dyDescent="0.25">
      <c r="B155" s="338">
        <f>+IF(OR(CD155=0,CD155=1),0,COUNTIF(CD$15:CD155,CD155))</f>
        <v>0</v>
      </c>
      <c r="CD155" s="616">
        <f t="shared" si="69"/>
        <v>0</v>
      </c>
    </row>
  </sheetData>
  <sheetProtection formatCells="0" formatColumns="0" formatRows="0" insertRows="0" deleteRows="0" sort="0" autoFilter="0"/>
  <protectedRanges>
    <protectedRange sqref="W18:W26" name="Rango2_3"/>
    <protectedRange sqref="AP15:AU15 AW15 AY15:BE15 B16:AM17 BI16:CB17 BH15:BH17 CE16:XFD17" name="Rango2_8"/>
    <protectedRange sqref="L18:L26" name="Rango2_6"/>
    <protectedRange sqref="E30 D18:F26" name="Rango2_2_1"/>
    <protectedRange sqref="G18:G26" name="Rango2_1_1_1"/>
    <protectedRange sqref="M18:N26" name="Rango2_4_1"/>
    <protectedRange sqref="AP18:AP26" name="Rango2_11"/>
  </protectedRanges>
  <dataConsolidate/>
  <mergeCells count="120">
    <mergeCell ref="G5:K5"/>
    <mergeCell ref="L5:P5"/>
    <mergeCell ref="Q5:U5"/>
    <mergeCell ref="V5:Z5"/>
    <mergeCell ref="AA5:AE5"/>
    <mergeCell ref="AF5:AG5"/>
    <mergeCell ref="BR15:BW15"/>
    <mergeCell ref="BI13:BI14"/>
    <mergeCell ref="BC6:BD6"/>
    <mergeCell ref="BL11:BL14"/>
    <mergeCell ref="BW11:BW12"/>
    <mergeCell ref="BV11:BV12"/>
    <mergeCell ref="AN9:AN14"/>
    <mergeCell ref="AO9:AO14"/>
    <mergeCell ref="AY6:BB6"/>
    <mergeCell ref="AO6:AR6"/>
    <mergeCell ref="AP9:AP14"/>
    <mergeCell ref="AM6:AN6"/>
    <mergeCell ref="BJ11:BJ14"/>
    <mergeCell ref="BR9:CC10"/>
    <mergeCell ref="BI11:BI12"/>
    <mergeCell ref="BP9:BQ9"/>
    <mergeCell ref="BE9:BE13"/>
    <mergeCell ref="AQ9:AQ14"/>
    <mergeCell ref="CD11:CD13"/>
    <mergeCell ref="BK11:BK14"/>
    <mergeCell ref="BY13:BY14"/>
    <mergeCell ref="CB11:CB14"/>
    <mergeCell ref="BW13:BW14"/>
    <mergeCell ref="CC11:CC14"/>
    <mergeCell ref="BS13:BS14"/>
    <mergeCell ref="BX11:BZ12"/>
    <mergeCell ref="BU11:BU12"/>
    <mergeCell ref="BX13:BX14"/>
    <mergeCell ref="BR13:BR14"/>
    <mergeCell ref="BM11:BM14"/>
    <mergeCell ref="BP11:BP14"/>
    <mergeCell ref="BO12:BO14"/>
    <mergeCell ref="BQ13:BQ14"/>
    <mergeCell ref="BZ13:BZ14"/>
    <mergeCell ref="BR11:BR12"/>
    <mergeCell ref="CA11:CA14"/>
    <mergeCell ref="BN11:BN14"/>
    <mergeCell ref="AT3:AV3"/>
    <mergeCell ref="AS13:AS14"/>
    <mergeCell ref="AL9:AL13"/>
    <mergeCell ref="AU9:AV10"/>
    <mergeCell ref="AU11:AV12"/>
    <mergeCell ref="AU13:AU14"/>
    <mergeCell ref="AV13:AV14"/>
    <mergeCell ref="AS9:AT10"/>
    <mergeCell ref="AS11:AT12"/>
    <mergeCell ref="AT13:AT14"/>
    <mergeCell ref="AR9:AR14"/>
    <mergeCell ref="AM9:AM14"/>
    <mergeCell ref="AS6:AV6"/>
    <mergeCell ref="Z10:Z14"/>
    <mergeCell ref="AB10:AB14"/>
    <mergeCell ref="AJ9:AJ14"/>
    <mergeCell ref="AI9:AI14"/>
    <mergeCell ref="AD12:AD14"/>
    <mergeCell ref="AE9:AE13"/>
    <mergeCell ref="AC9:AD11"/>
    <mergeCell ref="AG9:AG13"/>
    <mergeCell ref="BE6:BH6"/>
    <mergeCell ref="AW6:AX6"/>
    <mergeCell ref="AW9:AW14"/>
    <mergeCell ref="AX9:AX13"/>
    <mergeCell ref="AY9:AY14"/>
    <mergeCell ref="BC9:BC14"/>
    <mergeCell ref="BF9:BF14"/>
    <mergeCell ref="BG9:BG14"/>
    <mergeCell ref="N9:N14"/>
    <mergeCell ref="P9:P13"/>
    <mergeCell ref="Y9:Y13"/>
    <mergeCell ref="Z9:AB9"/>
    <mergeCell ref="D15:AJ15"/>
    <mergeCell ref="C16:AJ16"/>
    <mergeCell ref="D17:AJ17"/>
    <mergeCell ref="W9:W14"/>
    <mergeCell ref="AA10:AA14"/>
    <mergeCell ref="AC12:AC14"/>
    <mergeCell ref="Q10:S10"/>
    <mergeCell ref="D9:D14"/>
    <mergeCell ref="G9:G13"/>
    <mergeCell ref="F11:F14"/>
    <mergeCell ref="I9:J14"/>
    <mergeCell ref="T10:T13"/>
    <mergeCell ref="AF9:AF13"/>
    <mergeCell ref="Q12:Q13"/>
    <mergeCell ref="R12:R13"/>
    <mergeCell ref="U10:U14"/>
    <mergeCell ref="Q9:T9"/>
    <mergeCell ref="V9:V14"/>
    <mergeCell ref="S12:S13"/>
    <mergeCell ref="AH9:AH14"/>
    <mergeCell ref="F2:AH2"/>
    <mergeCell ref="F3:AH3"/>
    <mergeCell ref="G4:AH4"/>
    <mergeCell ref="C9:C14"/>
    <mergeCell ref="X9:X14"/>
    <mergeCell ref="BX17:BZ17"/>
    <mergeCell ref="K11:K13"/>
    <mergeCell ref="L11:L14"/>
    <mergeCell ref="M9:M14"/>
    <mergeCell ref="K9:L10"/>
    <mergeCell ref="O9:O13"/>
    <mergeCell ref="BH9:BH14"/>
    <mergeCell ref="BB9:BB14"/>
    <mergeCell ref="AZ9:AZ14"/>
    <mergeCell ref="BA9:BA14"/>
    <mergeCell ref="BD9:BD14"/>
    <mergeCell ref="BA15:BB15"/>
    <mergeCell ref="AL15:AL16"/>
    <mergeCell ref="AK15:AK16"/>
    <mergeCell ref="BU16:BX16"/>
    <mergeCell ref="AK9:AK13"/>
    <mergeCell ref="Q11:S11"/>
    <mergeCell ref="E9:F10"/>
    <mergeCell ref="E11:E14"/>
  </mergeCells>
  <phoneticPr fontId="0" type="noConversion"/>
  <conditionalFormatting sqref="AG18:AG26">
    <cfRule type="cellIs" dxfId="46" priority="3767" stopIfTrue="1" operator="greaterThan">
      <formula>$AG$14*100</formula>
    </cfRule>
  </conditionalFormatting>
  <conditionalFormatting sqref="BF18:BF26">
    <cfRule type="expression" dxfId="45" priority="3624">
      <formula>CI18="No"</formula>
    </cfRule>
  </conditionalFormatting>
  <conditionalFormatting sqref="AS18:AT26">
    <cfRule type="expression" dxfId="44" priority="3521">
      <formula>OR($Z18="BANDEJA",$Z18="TUBO",$Z18="BLINDOBARRA")</formula>
    </cfRule>
  </conditionalFormatting>
  <conditionalFormatting sqref="AU18:AV26">
    <cfRule type="expression" dxfId="43" priority="3520">
      <formula>OR($Z18="BANCO DE DUCTOS",$Z18="TUBO",$Z18="BLINDOBARRA")</formula>
    </cfRule>
  </conditionalFormatting>
  <conditionalFormatting sqref="BP18:BQ26 AC18:AC26">
    <cfRule type="cellIs" dxfId="42" priority="3518" stopIfTrue="1" operator="equal">
      <formula>"NO"</formula>
    </cfRule>
  </conditionalFormatting>
  <conditionalFormatting sqref="BZ18:BZ26 O18:O26">
    <cfRule type="cellIs" dxfId="41" priority="3519" stopIfTrue="1" operator="equal">
      <formula>""</formula>
    </cfRule>
  </conditionalFormatting>
  <conditionalFormatting sqref="AF18:AF26">
    <cfRule type="cellIs" dxfId="40" priority="3517" stopIfTrue="1" operator="greaterThan">
      <formula>$AF$14*100</formula>
    </cfRule>
  </conditionalFormatting>
  <conditionalFormatting sqref="AZ18:AZ26">
    <cfRule type="expression" dxfId="39" priority="3512">
      <formula>$AZ18&lt;10</formula>
    </cfRule>
  </conditionalFormatting>
  <conditionalFormatting sqref="T18:T26 V18:W26">
    <cfRule type="expression" dxfId="38" priority="2300">
      <formula>$AZ18&lt;10</formula>
    </cfRule>
  </conditionalFormatting>
  <conditionalFormatting sqref="AW15 BA15">
    <cfRule type="expression" dxfId="37" priority="2289">
      <formula>AND($AO15="Multiconductor",$BA15&lt;&gt;"No",$AW15&lt;&gt;"M")</formula>
    </cfRule>
  </conditionalFormatting>
  <conditionalFormatting sqref="AZ15">
    <cfRule type="expression" dxfId="36" priority="2287">
      <formula>AND($AO15="Multiconductor",$BA15&lt;&gt;"No",$AW15&lt;&gt;"M")</formula>
    </cfRule>
  </conditionalFormatting>
  <conditionalFormatting sqref="AO15">
    <cfRule type="expression" dxfId="35" priority="2286">
      <formula>AND($AO15="Multiconductor",$BA15&lt;&gt;"No",$AW15&lt;&gt;"M")</formula>
    </cfRule>
  </conditionalFormatting>
  <conditionalFormatting sqref="W18:X26">
    <cfRule type="expression" dxfId="34" priority="2244">
      <formula>MID($X18,1,2)="NO"</formula>
    </cfRule>
  </conditionalFormatting>
  <conditionalFormatting sqref="AL15">
    <cfRule type="expression" dxfId="33" priority="1639">
      <formula>AND($AO15="Multiconductor",$BA15&lt;&gt;"No",$AW15&lt;&gt;"M")</formula>
    </cfRule>
  </conditionalFormatting>
  <conditionalFormatting sqref="AK15">
    <cfRule type="expression" dxfId="32" priority="1638">
      <formula>AND($AO15="Multiconductor",$BA15&lt;&gt;"No",$AW15&lt;&gt;"M")</formula>
    </cfRule>
  </conditionalFormatting>
  <conditionalFormatting sqref="AI18:AI26">
    <cfRule type="containsText" dxfId="31" priority="1637" operator="containsText" text="NO">
      <formula>NOT(ISERROR(SEARCH("NO",AI18)))</formula>
    </cfRule>
  </conditionalFormatting>
  <conditionalFormatting sqref="AJ18:AJ26">
    <cfRule type="containsText" dxfId="30" priority="1633" operator="containsText" text="FALTA DATO">
      <formula>NOT(ISERROR(SEARCH("FALTA DATO",AJ18)))</formula>
    </cfRule>
    <cfRule type="containsText" dxfId="29" priority="1634" operator="containsText" text="NO">
      <formula>NOT(ISERROR(SEARCH("NO",AJ18)))</formula>
    </cfRule>
  </conditionalFormatting>
  <conditionalFormatting sqref="AW18:AW26">
    <cfRule type="expression" dxfId="28" priority="1380">
      <formula>AND($AO18="Monopolar",$BB18&lt;&gt;"No",$AW18="Motor Alimentado de VFD")</formula>
    </cfRule>
  </conditionalFormatting>
  <conditionalFormatting sqref="AE18">
    <cfRule type="cellIs" dxfId="27" priority="18" operator="lessThan">
      <formula>$Q$18</formula>
    </cfRule>
  </conditionalFormatting>
  <conditionalFormatting sqref="AE20:AE21">
    <cfRule type="cellIs" dxfId="26" priority="9" operator="lessThan">
      <formula>Q20</formula>
    </cfRule>
  </conditionalFormatting>
  <conditionalFormatting sqref="AP18:AP20">
    <cfRule type="expression" dxfId="25" priority="1">
      <formula>$AV18="M"</formula>
    </cfRule>
    <cfRule type="expression" dxfId="24" priority="2">
      <formula>AO18="Monopolar"</formula>
    </cfRule>
  </conditionalFormatting>
  <dataValidations count="7">
    <dataValidation type="list" allowBlank="1" showInputMessage="1" showErrorMessage="1" sqref="AV18:AV26" xr:uid="{00000000-0002-0000-0500-000002000000}">
      <formula1>SEPARACION_CONDUCTORES</formula1>
    </dataValidation>
    <dataValidation type="list" allowBlank="1" showInputMessage="1" showErrorMessage="1" sqref="AU18:AU26" xr:uid="{00000000-0002-0000-0500-000003000000}">
      <formula1>TAPA_BANDEJA</formula1>
    </dataValidation>
    <dataValidation type="list" allowBlank="1" showInputMessage="1" showErrorMessage="1" sqref="AQ18:AQ26 BH18:BH26" xr:uid="{00000000-0002-0000-0500-000005000000}">
      <formula1>TIPO_MATERIAL_CABLE</formula1>
    </dataValidation>
    <dataValidation type="list" allowBlank="1" showInputMessage="1" showErrorMessage="1" sqref="AQ18:AQ26 BH18:BH26" xr:uid="{00000000-0002-0000-0500-000006000000}">
      <formula1>TIPO_AISLAMIENTO</formula1>
    </dataValidation>
    <dataValidation type="list" allowBlank="1" showInputMessage="1" showErrorMessage="1" sqref="K18:K26" xr:uid="{7CCB806E-A2FB-49A6-A845-CBAA1C96E562}">
      <formula1>VOLTAJE_BT</formula1>
    </dataValidation>
    <dataValidation type="list" allowBlank="1" showInputMessage="1" showErrorMessage="1" sqref="L18:L26" xr:uid="{2678CA42-70D6-46C7-BF3E-2EB41655892A}">
      <formula1>No_de_Fases</formula1>
    </dataValidation>
    <dataValidation type="list" allowBlank="1" showInputMessage="1" showErrorMessage="1" sqref="E30" xr:uid="{01826C87-15C6-4E08-9DA0-BDD6773DD776}">
      <formula1>"CENTRO DE CONTROL DE POTENCIA,TABLERO BAJA TENSIÓN,VARIADOR DE FRECUENCIA,BOMBA ROPER,CASETA OPERARIO,ALIMENTACIÓN TABLERO GENERADOR,POSTE BAJA TENSIÓN (EXISTENTE),MOTOR 3Ø,MOTOR ROTADOR,POSTE BAJA TENSIÓN (PROYECTADO)"</formula1>
    </dataValidation>
  </dataValidations>
  <printOptions horizontalCentered="1"/>
  <pageMargins left="0" right="7.874015748031496E-2" top="0" bottom="0.9055118110236221" header="0" footer="0"/>
  <pageSetup scale="38" fitToHeight="0" orientation="landscape" r:id="rId1"/>
  <headerFooter scaleWithDoc="0">
    <oddHeader xml:space="preserve">&amp;R                                  &amp;K00+000.                                                                                               </oddHeader>
    <oddFooter xml:space="preserve">&amp;L&amp;"Century Gothic,Normal"&amp;8         Código cliente: DNC-02208-ELE-MC-000001
         Código interno: -&amp;C&amp;"Century Gothic,Normal"&amp;8
&amp;R&amp;"Century Gothic,Normal"&amp;8Página &amp;P de &amp;N     &amp;K00+000__&amp;K000000
</oddFooter>
  </headerFooter>
  <ignoredErrors>
    <ignoredError sqref="C28" unlockedFormula="1"/>
  </ignoredErrors>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58E36ADE-3905-4926-B55D-B3538A02E66F}">
          <x14:formula1>
            <xm:f>CONDUCTORES!$A$84:$A$93</xm:f>
          </x14:formula1>
          <xm:sqref>BA18:BA26 BG18:BG26 BC18:BC26 AN18:AN26</xm:sqref>
        </x14:dataValidation>
        <x14:dataValidation type="list" allowBlank="1" showInputMessage="1" showErrorMessage="1" xr:uid="{F380BFA6-4A37-4D51-85B4-1EE765FD8255}">
          <x14:formula1>
            <xm:f>CONDUCTORES!$D$84:$D$85</xm:f>
          </x14:formula1>
          <xm:sqref>AO18:AO26</xm:sqref>
        </x14:dataValidation>
        <x14:dataValidation type="list" allowBlank="1" showInputMessage="1" showErrorMessage="1" xr:uid="{A025C9FF-18BA-4202-AC58-A76790B35CEE}">
          <x14:formula1>
            <xm:f>Listas!$C$2:$C$3</xm:f>
          </x14:formula1>
          <xm:sqref>AY18:AY26</xm:sqref>
        </x14:dataValidation>
        <x14:dataValidation type="list" allowBlank="1" showInputMessage="1" showErrorMessage="1" xr:uid="{C3E923C6-C56D-44ED-98C5-0471D9A7F910}">
          <x14:formula1>
            <xm:f>'CONDCUTORES MT'!$A$109:$A$127</xm:f>
          </x14:formula1>
          <xm:sqref>AC18:AC26</xm:sqref>
        </x14:dataValidation>
        <x14:dataValidation type="list" allowBlank="1" showInputMessage="1" showErrorMessage="1" xr:uid="{D6A15792-7C30-4EB4-AE3E-CB2A5706D68C}">
          <x14:formula1>
            <xm:f>'CONDCUTORES MT'!$E$108:$E$123</xm:f>
          </x14:formula1>
          <xm:sqref>BB18:BB26 BD18:BD26</xm:sqref>
        </x14:dataValidation>
        <x14:dataValidation type="list" allowBlank="1" showInputMessage="1" showErrorMessage="1" xr:uid="{31494B40-AB8D-4A1F-B04C-C7F20F071FE5}">
          <x14:formula1>
            <xm:f>Listas!$D$2:$D$4</xm:f>
          </x14:formula1>
          <xm:sqref>J18:J26</xm:sqref>
        </x14:dataValidation>
        <x14:dataValidation type="list" allowBlank="1" showInputMessage="1" showErrorMessage="1" xr:uid="{184AF940-0020-40F7-B8E4-F4743C5D8562}">
          <x14:formula1>
            <xm:f>Listas!$H$2:$H$7</xm:f>
          </x14:formula1>
          <xm:sqref>Z18:Z26</xm:sqref>
        </x14:dataValidation>
        <x14:dataValidation type="list" allowBlank="1" showInputMessage="1" showErrorMessage="1" xr:uid="{2FFCB654-6967-4163-A977-92084DB75006}">
          <x14:formula1>
            <xm:f>Listas!$U$1:$U$8</xm:f>
          </x14:formula1>
          <xm:sqref>AW18:AW26</xm:sqref>
        </x14:dataValidation>
        <x14:dataValidation type="list" allowBlank="1" showInputMessage="1" showErrorMessage="1" xr:uid="{2DFEC5BF-D145-4020-8A60-CB97170534EB}">
          <x14:formula1>
            <xm:f>Listas!$Q$13:$Q$15</xm:f>
          </x14:formula1>
          <xm:sqref>AW3</xm:sqref>
        </x14:dataValidation>
        <x14:dataValidation type="list" allowBlank="1" showInputMessage="1" showErrorMessage="1" xr:uid="{D9ED9B0B-EF43-4A54-9238-444183AF5140}">
          <x14:formula1>
            <xm:f>IF($AW$3="60°C",Listas!$M$22:$M$25,IF($AW$3="75°C",Listas!$N$22:$N$30,IF($AW$3="90°C",Listas!$O$22:$O$40,"REVISAR TEMPERATURA")))</xm:f>
          </x14:formula1>
          <xm:sqref>AR18:AR26</xm:sqref>
        </x14:dataValidation>
        <x14:dataValidation type="list" allowBlank="1" showInputMessage="1" showErrorMessage="1" xr:uid="{F5641D55-C8C5-455D-8FF1-FC0F2CC41DBB}">
          <x14:formula1>
            <xm:f>IF($Z18="AÉREO",CONDUCTORES!$B$156:$B$161,IF($AN18&gt;=2,CONDUCTORES!$B$15:$B$23,IF($BH18="Al",CONDUCTORES!$B$12:$B$23,IF($AW18="Motor",CONDUCTORES!$H$84:$H$98,CONDUCTORES!$B$9:$B$23))))</xm:f>
          </x14:formula1>
          <xm:sqref>BF18:BF26</xm:sqref>
        </x14:dataValidation>
        <x14:dataValidation type="list" allowBlank="1" showInputMessage="1" showErrorMessage="1" xr:uid="{82FD081F-D57F-417A-8D85-C9168BCB730B}">
          <x14:formula1>
            <xm:f>IF($Z18="AÉREO",CONDUCTORES!$B$156:$B$161,IF($AN18&gt;=2,CONDUCTORES!$B$15:$B$23,IF($AW18="M",CONDUCTORES!$H$84:$H$98,CONDUCTORES!$B$9:$B$23)))</xm:f>
          </x14:formula1>
          <xm:sqref>AM18:AM26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001AB-F618-4AC9-BB92-A29B91F80719}">
  <sheetPr codeName="Hoja31">
    <pageSetUpPr fitToPage="1"/>
  </sheetPr>
  <dimension ref="B1:AY74"/>
  <sheetViews>
    <sheetView showGridLines="0" view="pageBreakPreview" zoomScale="85" zoomScaleNormal="100" zoomScaleSheetLayoutView="85" workbookViewId="0">
      <selection activeCell="F4" sqref="F4"/>
    </sheetView>
  </sheetViews>
  <sheetFormatPr baseColWidth="10" defaultColWidth="11.44140625" defaultRowHeight="23.25" customHeight="1" x14ac:dyDescent="0.25"/>
  <cols>
    <col min="1" max="1" width="3.5546875" style="349" customWidth="1"/>
    <col min="2" max="2" width="4.88671875" style="344" hidden="1" customWidth="1"/>
    <col min="3" max="3" width="7.88671875" style="349" customWidth="1"/>
    <col min="4" max="4" width="30.109375" style="349" customWidth="1"/>
    <col min="5" max="5" width="37.109375" style="349" customWidth="1"/>
    <col min="6" max="6" width="27.44140625" style="349" customWidth="1"/>
    <col min="7" max="7" width="6.44140625" style="349" customWidth="1"/>
    <col min="8" max="8" width="7" style="349" customWidth="1"/>
    <col min="9" max="9" width="9.88671875" style="349" customWidth="1"/>
    <col min="10" max="10" width="7.5546875" style="349" customWidth="1"/>
    <col min="11" max="11" width="8.5546875" style="349" customWidth="1"/>
    <col min="12" max="12" width="10" style="570" customWidth="1"/>
    <col min="13" max="13" width="10" style="349" hidden="1" customWidth="1"/>
    <col min="14" max="14" width="9.88671875" style="349" customWidth="1"/>
    <col min="15" max="15" width="16.5546875" style="349" hidden="1" customWidth="1"/>
    <col min="16" max="16" width="18.88671875" style="349" customWidth="1"/>
    <col min="17" max="17" width="1.88671875" style="349" hidden="1" customWidth="1"/>
    <col min="18" max="18" width="50.44140625" style="349" customWidth="1"/>
    <col min="19" max="19" width="6.44140625" style="349" customWidth="1"/>
    <col min="20" max="20" width="27" style="349" customWidth="1"/>
    <col min="21" max="21" width="7.109375" style="349" customWidth="1"/>
    <col min="22" max="22" width="2" style="349" hidden="1" customWidth="1"/>
    <col min="23" max="23" width="18.109375" style="349" customWidth="1"/>
    <col min="24" max="24" width="25.5546875" style="349" customWidth="1"/>
    <col min="25" max="25" width="9.44140625" style="338" customWidth="1"/>
    <col min="26" max="26" width="12.88671875" style="338" customWidth="1"/>
    <col min="27" max="28" width="9.44140625" style="347" customWidth="1"/>
    <col min="29" max="29" width="14.5546875" style="347" customWidth="1"/>
    <col min="30" max="30" width="9.109375" style="347" customWidth="1"/>
    <col min="31" max="31" width="17.5546875" style="348" customWidth="1"/>
    <col min="32" max="32" width="16.44140625" style="349" customWidth="1"/>
    <col min="33" max="38" width="13" style="349" bestFit="1" customWidth="1"/>
    <col min="39" max="41" width="11.44140625" style="349"/>
    <col min="42" max="50" width="11.44140625" style="349" hidden="1" customWidth="1"/>
    <col min="51" max="16384" width="11.44140625" style="349"/>
  </cols>
  <sheetData>
    <row r="1" spans="2:51" s="601" customFormat="1" ht="18" customHeight="1" x14ac:dyDescent="0.25">
      <c r="B1" s="596"/>
      <c r="C1" s="766"/>
      <c r="D1" s="766"/>
      <c r="E1" s="766"/>
      <c r="F1" s="767"/>
      <c r="G1" s="768"/>
      <c r="H1" s="768"/>
      <c r="I1" s="768"/>
      <c r="J1" s="768"/>
      <c r="K1" s="768"/>
      <c r="L1" s="768"/>
      <c r="M1" s="768"/>
      <c r="N1" s="768"/>
      <c r="O1" s="768"/>
      <c r="P1" s="768"/>
      <c r="Q1" s="768"/>
      <c r="R1" s="768"/>
      <c r="S1" s="768"/>
      <c r="T1" s="768"/>
      <c r="U1" s="768"/>
      <c r="V1" s="768"/>
      <c r="W1" s="768"/>
      <c r="X1" s="597"/>
      <c r="Y1" s="598"/>
      <c r="Z1" s="598"/>
      <c r="AA1" s="599"/>
      <c r="AB1" s="599"/>
      <c r="AC1" s="599"/>
      <c r="AD1" s="599"/>
      <c r="AE1" s="600"/>
    </row>
    <row r="2" spans="2:51" s="601" customFormat="1" ht="33.75" customHeight="1" x14ac:dyDescent="0.25">
      <c r="B2" s="596"/>
      <c r="C2" s="766"/>
      <c r="D2" s="766"/>
      <c r="E2" s="766"/>
      <c r="F2" s="1739" t="str">
        <f>'PORTADA '!I1</f>
        <v>MEMORIA DE CÁLCULO DE CONDUCTORES, CANALIZACIONES Y CUADRO DE CARGAS - DT-58</v>
      </c>
      <c r="G2" s="1740"/>
      <c r="H2" s="1740"/>
      <c r="I2" s="1740"/>
      <c r="J2" s="1740"/>
      <c r="K2" s="1740"/>
      <c r="L2" s="1740"/>
      <c r="M2" s="1740"/>
      <c r="N2" s="1740"/>
      <c r="O2" s="1740"/>
      <c r="P2" s="1740"/>
      <c r="Q2" s="1740"/>
      <c r="R2" s="1740"/>
      <c r="S2" s="1740"/>
      <c r="T2" s="1740"/>
      <c r="U2" s="1740"/>
      <c r="V2" s="1740"/>
      <c r="W2" s="1740"/>
      <c r="X2" s="597"/>
      <c r="Y2" s="598"/>
      <c r="Z2" s="598"/>
      <c r="AA2" s="599"/>
      <c r="AB2" s="599"/>
      <c r="AC2" s="599"/>
      <c r="AD2" s="599"/>
      <c r="AE2" s="600"/>
    </row>
    <row r="3" spans="2:51" s="601" customFormat="1" ht="21" customHeight="1" x14ac:dyDescent="0.25">
      <c r="B3" s="596"/>
      <c r="C3" s="766"/>
      <c r="D3" s="766"/>
      <c r="E3" s="766"/>
      <c r="F3" s="1741" t="str">
        <f>'PORTADA '!I3</f>
        <v>Contrato No. 3037739 ODS-039: “INGENIERÍA BÁSICA DESARROLLO INTEGRAL DINA T - PALOGRANDE”</v>
      </c>
      <c r="G3" s="1741"/>
      <c r="H3" s="1741"/>
      <c r="I3" s="1741"/>
      <c r="J3" s="1741"/>
      <c r="K3" s="1741"/>
      <c r="L3" s="1741"/>
      <c r="M3" s="1741"/>
      <c r="N3" s="1741"/>
      <c r="O3" s="1741"/>
      <c r="P3" s="1741"/>
      <c r="Q3" s="1741"/>
      <c r="R3" s="1741"/>
      <c r="S3" s="1741"/>
      <c r="T3" s="1741"/>
      <c r="U3" s="1741"/>
      <c r="V3" s="1741"/>
      <c r="W3" s="1741"/>
      <c r="X3" s="1373"/>
      <c r="Y3" s="598"/>
      <c r="Z3" s="598"/>
      <c r="AA3" s="599"/>
      <c r="AB3" s="599"/>
      <c r="AC3" s="599"/>
      <c r="AD3" s="599"/>
      <c r="AE3" s="600"/>
      <c r="AF3" s="1374"/>
      <c r="AG3" s="1374"/>
      <c r="AH3" s="1374"/>
    </row>
    <row r="4" spans="2:51" s="601" customFormat="1" ht="12.75" customHeight="1" x14ac:dyDescent="0.25">
      <c r="B4" s="596"/>
      <c r="C4" s="766"/>
      <c r="D4" s="766"/>
      <c r="E4" s="766"/>
      <c r="F4" s="1371" t="str">
        <f>'CÁLCULO CONDUCTORES DE MT'!$F$4</f>
        <v>Versión:</v>
      </c>
      <c r="G4" s="1542">
        <f>'PORTADA '!R6</f>
        <v>0</v>
      </c>
      <c r="H4" s="1542"/>
      <c r="I4" s="1542"/>
      <c r="J4" s="1542"/>
      <c r="K4" s="1542"/>
      <c r="L4" s="1542"/>
      <c r="M4" s="1542"/>
      <c r="N4" s="1542"/>
      <c r="O4" s="1542"/>
      <c r="P4" s="1542"/>
      <c r="Q4" s="1542"/>
      <c r="R4" s="1542"/>
      <c r="S4" s="1542"/>
      <c r="T4" s="1542"/>
      <c r="U4" s="1542"/>
      <c r="V4" s="1542"/>
      <c r="W4" s="1542"/>
      <c r="X4" s="1542"/>
      <c r="Y4" s="1542"/>
      <c r="Z4" s="1542"/>
      <c r="AA4" s="1542"/>
      <c r="AB4" s="1542"/>
      <c r="AC4" s="1542"/>
      <c r="AD4" s="1542"/>
      <c r="AE4" s="1542"/>
      <c r="AF4" s="1542"/>
      <c r="AG4" s="1542"/>
      <c r="AH4" s="1542"/>
    </row>
    <row r="5" spans="2:51" s="601" customFormat="1" ht="12.75" customHeight="1" x14ac:dyDescent="0.25">
      <c r="B5" s="596"/>
      <c r="C5" s="766"/>
      <c r="D5" s="766"/>
      <c r="E5" s="766"/>
      <c r="F5" s="1371" t="str">
        <f>'CÁLCULO CONDUCTORES DE MT'!$F$5</f>
        <v>Fecha:</v>
      </c>
      <c r="G5" s="1553">
        <f>'PORTADA '!X6</f>
        <v>46007</v>
      </c>
      <c r="H5" s="1554"/>
      <c r="I5" s="1554"/>
      <c r="J5" s="1554"/>
      <c r="K5" s="1554"/>
      <c r="L5" s="1553"/>
      <c r="M5" s="1554"/>
      <c r="N5" s="1554"/>
      <c r="O5" s="1554"/>
      <c r="P5" s="1554"/>
      <c r="Q5" s="1553"/>
      <c r="R5" s="1554"/>
      <c r="S5" s="1554"/>
      <c r="T5" s="1554"/>
      <c r="U5" s="1554"/>
      <c r="V5" s="1553"/>
      <c r="W5" s="1554"/>
      <c r="X5" s="1554"/>
      <c r="Y5" s="1554"/>
      <c r="Z5" s="1554"/>
      <c r="AA5" s="1553"/>
      <c r="AB5" s="1554"/>
      <c r="AC5" s="1554"/>
      <c r="AD5" s="1554"/>
      <c r="AE5" s="1554"/>
      <c r="AF5" s="1553"/>
      <c r="AG5" s="1554"/>
      <c r="AH5" s="1372"/>
    </row>
    <row r="6" spans="2:51" s="601" customFormat="1" ht="8.1" customHeight="1" x14ac:dyDescent="0.25">
      <c r="B6" s="596"/>
      <c r="C6" s="766"/>
      <c r="D6" s="766"/>
      <c r="E6" s="766"/>
      <c r="F6" s="769"/>
      <c r="G6" s="770"/>
      <c r="H6" s="770"/>
      <c r="I6" s="770"/>
      <c r="J6" s="770"/>
      <c r="K6" s="770"/>
      <c r="L6" s="770"/>
      <c r="M6" s="770"/>
      <c r="N6" s="770"/>
      <c r="O6" s="770"/>
      <c r="P6" s="770"/>
      <c r="Q6" s="770"/>
      <c r="R6" s="770"/>
      <c r="S6" s="770"/>
      <c r="T6" s="771"/>
      <c r="U6" s="771"/>
      <c r="V6" s="772"/>
      <c r="W6" s="772"/>
      <c r="X6" s="602"/>
      <c r="Y6" s="598">
        <v>45063</v>
      </c>
      <c r="Z6" s="598"/>
      <c r="AA6" s="598"/>
      <c r="AB6" s="598"/>
      <c r="AC6" s="598"/>
      <c r="AD6" s="595">
        <f>+COUNTIF(AC$19:$AC23,2)</f>
        <v>1</v>
      </c>
      <c r="AE6" s="595">
        <f>+COUNTIF(AC$25:$AC37,2)</f>
        <v>9</v>
      </c>
    </row>
    <row r="7" spans="2:51" s="571" customFormat="1" ht="7.35" customHeight="1" thickBot="1" x14ac:dyDescent="0.3">
      <c r="B7" s="568"/>
      <c r="C7" s="569"/>
      <c r="L7" s="570"/>
      <c r="X7" s="350"/>
      <c r="Y7" s="351"/>
      <c r="Z7" s="351">
        <v>48</v>
      </c>
      <c r="AA7" s="351"/>
      <c r="AB7" s="351">
        <v>49</v>
      </c>
      <c r="AC7" s="351">
        <v>55</v>
      </c>
      <c r="AD7" s="351">
        <v>56</v>
      </c>
      <c r="AE7" s="351">
        <v>57</v>
      </c>
      <c r="AF7" s="351"/>
      <c r="AG7" s="351"/>
      <c r="AH7" s="351"/>
      <c r="AI7" s="351"/>
      <c r="AJ7" s="351"/>
      <c r="AK7" s="351"/>
      <c r="AL7" s="351"/>
      <c r="AM7" s="351"/>
      <c r="AN7" s="351"/>
      <c r="AO7" s="351"/>
      <c r="AP7" s="351"/>
      <c r="AQ7" s="351"/>
      <c r="AR7" s="351"/>
      <c r="AS7" s="351"/>
      <c r="AT7" s="351"/>
      <c r="AU7" s="351"/>
      <c r="AV7" s="351"/>
      <c r="AW7" s="351"/>
      <c r="AX7" s="351"/>
      <c r="AY7" s="351"/>
    </row>
    <row r="8" spans="2:51" s="355" customFormat="1" ht="15" customHeight="1" x14ac:dyDescent="0.25">
      <c r="B8" s="352"/>
      <c r="C8" s="1013" t="s">
        <v>441</v>
      </c>
      <c r="D8" s="1013" t="s">
        <v>442</v>
      </c>
      <c r="E8" s="1013" t="s">
        <v>443</v>
      </c>
      <c r="F8" s="1013" t="s">
        <v>444</v>
      </c>
      <c r="G8" s="1750" t="s">
        <v>445</v>
      </c>
      <c r="H8" s="1750"/>
      <c r="I8" s="1013" t="s">
        <v>446</v>
      </c>
      <c r="J8" s="1013" t="s">
        <v>447</v>
      </c>
      <c r="K8" s="1013" t="s">
        <v>448</v>
      </c>
      <c r="L8" s="1013" t="s">
        <v>449</v>
      </c>
      <c r="M8" s="1013" t="s">
        <v>996</v>
      </c>
      <c r="N8" s="1013" t="s">
        <v>450</v>
      </c>
      <c r="O8" s="1013" t="s">
        <v>996</v>
      </c>
      <c r="P8" s="1013" t="s">
        <v>451</v>
      </c>
      <c r="Q8" s="1013"/>
      <c r="R8" s="1013" t="s">
        <v>452</v>
      </c>
      <c r="S8" s="1013" t="s">
        <v>453</v>
      </c>
      <c r="T8" s="1013" t="s">
        <v>454</v>
      </c>
      <c r="U8" s="1013" t="s">
        <v>455</v>
      </c>
      <c r="V8" s="1013"/>
      <c r="W8" s="1013" t="s">
        <v>456</v>
      </c>
      <c r="X8" s="572" t="s">
        <v>457</v>
      </c>
      <c r="Y8" s="543"/>
      <c r="Z8" s="543" t="s">
        <v>469</v>
      </c>
      <c r="AA8" s="543"/>
      <c r="AB8" s="543" t="s">
        <v>470</v>
      </c>
      <c r="AC8" s="543" t="s">
        <v>476</v>
      </c>
      <c r="AD8" s="1773" t="s">
        <v>1063</v>
      </c>
      <c r="AE8" s="1762" t="s">
        <v>1064</v>
      </c>
    </row>
    <row r="9" spans="2:51" s="357" customFormat="1" ht="15" customHeight="1" x14ac:dyDescent="0.25">
      <c r="B9" s="1764" t="s">
        <v>1065</v>
      </c>
      <c r="C9" s="1765" t="s">
        <v>0</v>
      </c>
      <c r="D9" s="1767" t="s">
        <v>1066</v>
      </c>
      <c r="E9" s="1767" t="s">
        <v>1067</v>
      </c>
      <c r="F9" s="1767" t="s">
        <v>1068</v>
      </c>
      <c r="G9" s="1767" t="s">
        <v>1069</v>
      </c>
      <c r="H9" s="1767"/>
      <c r="I9" s="1767" t="s">
        <v>512</v>
      </c>
      <c r="J9" s="1767"/>
      <c r="K9" s="1652" t="s">
        <v>1070</v>
      </c>
      <c r="L9" s="1768" t="s">
        <v>1071</v>
      </c>
      <c r="M9" s="1652" t="s">
        <v>1072</v>
      </c>
      <c r="N9" s="1652" t="s">
        <v>1073</v>
      </c>
      <c r="O9" s="1774"/>
      <c r="P9" s="1774" t="s">
        <v>1074</v>
      </c>
      <c r="Q9" s="1005"/>
      <c r="R9" s="1767" t="s">
        <v>1075</v>
      </c>
      <c r="S9" s="1652" t="s">
        <v>1076</v>
      </c>
      <c r="T9" s="1767" t="s">
        <v>1077</v>
      </c>
      <c r="U9" s="1768" t="s">
        <v>1078</v>
      </c>
      <c r="V9" s="1005"/>
      <c r="W9" s="1774" t="s">
        <v>1079</v>
      </c>
      <c r="X9" s="1778" t="s">
        <v>741</v>
      </c>
      <c r="Y9" s="1775" t="s">
        <v>1080</v>
      </c>
      <c r="Z9" s="1762" t="s">
        <v>1081</v>
      </c>
      <c r="AA9" s="1775" t="s">
        <v>1082</v>
      </c>
      <c r="AB9" s="1762" t="s">
        <v>1083</v>
      </c>
      <c r="AC9" s="1763" t="s">
        <v>1084</v>
      </c>
      <c r="AD9" s="1773"/>
      <c r="AE9" s="1762"/>
    </row>
    <row r="10" spans="2:51" s="357" customFormat="1" ht="7.35" customHeight="1" x14ac:dyDescent="0.25">
      <c r="B10" s="1764"/>
      <c r="C10" s="1765"/>
      <c r="D10" s="1767"/>
      <c r="E10" s="1767"/>
      <c r="F10" s="1767"/>
      <c r="G10" s="1767"/>
      <c r="H10" s="1767"/>
      <c r="I10" s="1767"/>
      <c r="J10" s="1767"/>
      <c r="K10" s="1652"/>
      <c r="L10" s="1768"/>
      <c r="M10" s="1652"/>
      <c r="N10" s="1652"/>
      <c r="O10" s="1774"/>
      <c r="P10" s="1774"/>
      <c r="Q10" s="1005"/>
      <c r="R10" s="1767"/>
      <c r="S10" s="1652"/>
      <c r="T10" s="1767"/>
      <c r="U10" s="1768"/>
      <c r="V10" s="1005"/>
      <c r="W10" s="1774"/>
      <c r="X10" s="1779"/>
      <c r="Y10" s="1776"/>
      <c r="Z10" s="1762"/>
      <c r="AA10" s="1776"/>
      <c r="AB10" s="1762"/>
      <c r="AC10" s="1763"/>
      <c r="AD10" s="1773"/>
      <c r="AE10" s="1762"/>
    </row>
    <row r="11" spans="2:51" s="357" customFormat="1" ht="19.350000000000001" customHeight="1" x14ac:dyDescent="0.25">
      <c r="B11" s="1764"/>
      <c r="C11" s="1765"/>
      <c r="D11" s="1767"/>
      <c r="E11" s="1767"/>
      <c r="F11" s="1767"/>
      <c r="G11" s="1767"/>
      <c r="H11" s="1767"/>
      <c r="I11" s="1766" t="s">
        <v>552</v>
      </c>
      <c r="J11" s="1766" t="s">
        <v>1034</v>
      </c>
      <c r="K11" s="1652"/>
      <c r="L11" s="1768"/>
      <c r="M11" s="1652"/>
      <c r="N11" s="1652"/>
      <c r="O11" s="1774"/>
      <c r="P11" s="1774"/>
      <c r="Q11" s="1005"/>
      <c r="R11" s="1767"/>
      <c r="S11" s="1652"/>
      <c r="T11" s="1767"/>
      <c r="U11" s="1768"/>
      <c r="V11" s="1005"/>
      <c r="W11" s="1774"/>
      <c r="X11" s="1779"/>
      <c r="Y11" s="1776"/>
      <c r="Z11" s="1762"/>
      <c r="AA11" s="1776"/>
      <c r="AB11" s="1762"/>
      <c r="AC11" s="1763"/>
      <c r="AD11" s="1773"/>
      <c r="AE11" s="1762"/>
    </row>
    <row r="12" spans="2:51" s="357" customFormat="1" ht="19.5" customHeight="1" x14ac:dyDescent="0.25">
      <c r="B12" s="1764"/>
      <c r="C12" s="1765"/>
      <c r="D12" s="1767"/>
      <c r="E12" s="1767"/>
      <c r="F12" s="1767"/>
      <c r="G12" s="1767"/>
      <c r="H12" s="1767"/>
      <c r="I12" s="1766"/>
      <c r="J12" s="1766"/>
      <c r="K12" s="1652"/>
      <c r="L12" s="1768"/>
      <c r="M12" s="1652"/>
      <c r="N12" s="1652"/>
      <c r="O12" s="1774"/>
      <c r="P12" s="1774"/>
      <c r="Q12" s="1005"/>
      <c r="R12" s="1767"/>
      <c r="S12" s="1652"/>
      <c r="T12" s="1767"/>
      <c r="U12" s="1768"/>
      <c r="V12" s="1005"/>
      <c r="W12" s="1774"/>
      <c r="X12" s="1779"/>
      <c r="Y12" s="1776"/>
      <c r="Z12" s="1762"/>
      <c r="AA12" s="1776"/>
      <c r="AB12" s="1762"/>
      <c r="AC12" s="1763"/>
      <c r="AD12" s="1773"/>
      <c r="AE12" s="1762"/>
    </row>
    <row r="13" spans="2:51" s="357" customFormat="1" ht="18" customHeight="1" x14ac:dyDescent="0.25">
      <c r="B13" s="1764"/>
      <c r="C13" s="1765"/>
      <c r="D13" s="1767"/>
      <c r="E13" s="1767"/>
      <c r="F13" s="1767"/>
      <c r="G13" s="1767"/>
      <c r="H13" s="1767"/>
      <c r="I13" s="1766"/>
      <c r="J13" s="1766"/>
      <c r="K13" s="1652"/>
      <c r="L13" s="1768"/>
      <c r="M13" s="1652"/>
      <c r="N13" s="1652"/>
      <c r="O13" s="1774"/>
      <c r="P13" s="1774"/>
      <c r="Q13" s="1005"/>
      <c r="R13" s="1767"/>
      <c r="S13" s="1652"/>
      <c r="T13" s="1767"/>
      <c r="U13" s="1768"/>
      <c r="V13" s="1005"/>
      <c r="W13" s="1774"/>
      <c r="X13" s="1779"/>
      <c r="Y13" s="1776"/>
      <c r="Z13" s="1762"/>
      <c r="AA13" s="1776"/>
      <c r="AB13" s="1762"/>
      <c r="AC13" s="358" t="s">
        <v>587</v>
      </c>
      <c r="AD13" s="339">
        <f>+'CÁLCULO CONDUCTORES DE MT'!$B$14</f>
        <v>1</v>
      </c>
      <c r="AE13" s="573">
        <f>+'H2-CONDUCTORES DE BT'!$B$14</f>
        <v>9</v>
      </c>
    </row>
    <row r="14" spans="2:51" s="357" customFormat="1" ht="20.25" customHeight="1" x14ac:dyDescent="0.25">
      <c r="B14" s="1764"/>
      <c r="C14" s="1765"/>
      <c r="D14" s="1767"/>
      <c r="E14" s="1767"/>
      <c r="F14" s="1767"/>
      <c r="G14" s="1767"/>
      <c r="H14" s="1767"/>
      <c r="I14" s="1011" t="s">
        <v>583</v>
      </c>
      <c r="J14" s="1766"/>
      <c r="K14" s="1652"/>
      <c r="L14" s="1012" t="s">
        <v>586</v>
      </c>
      <c r="M14" s="1652"/>
      <c r="N14" s="1652"/>
      <c r="O14" s="1011"/>
      <c r="P14" s="1011" t="s">
        <v>1085</v>
      </c>
      <c r="Q14" s="1011"/>
      <c r="R14" s="1767"/>
      <c r="S14" s="1011" t="s">
        <v>582</v>
      </c>
      <c r="T14" s="1767"/>
      <c r="U14" s="1768"/>
      <c r="V14" s="1011"/>
      <c r="W14" s="1011" t="s">
        <v>1086</v>
      </c>
      <c r="X14" s="1780"/>
      <c r="Y14" s="1777"/>
      <c r="Z14" s="1762"/>
      <c r="AA14" s="1777"/>
      <c r="AB14" s="1762"/>
      <c r="AC14" s="360">
        <f t="shared" ref="AC14:AC28" si="0">LEN(C14)-LEN(SUBSTITUTE(C14,IF(ISNUMBER(FIND(".",C14)),".",","),""))</f>
        <v>0</v>
      </c>
      <c r="AD14" s="338"/>
      <c r="AE14" s="361"/>
    </row>
    <row r="15" spans="2:51" s="580" customFormat="1" ht="18" thickBot="1" x14ac:dyDescent="0.3">
      <c r="B15" s="574"/>
      <c r="C15" s="1014">
        <v>3</v>
      </c>
      <c r="D15" s="1786" t="s">
        <v>1087</v>
      </c>
      <c r="E15" s="1786"/>
      <c r="F15" s="1786"/>
      <c r="G15" s="1786"/>
      <c r="H15" s="1786"/>
      <c r="I15" s="1786"/>
      <c r="J15" s="1786"/>
      <c r="K15" s="1786"/>
      <c r="L15" s="1786"/>
      <c r="M15" s="1786"/>
      <c r="N15" s="1786"/>
      <c r="O15" s="1786"/>
      <c r="P15" s="1786"/>
      <c r="Q15" s="1786"/>
      <c r="R15" s="1786"/>
      <c r="S15" s="1786"/>
      <c r="T15" s="1786"/>
      <c r="U15" s="1786"/>
      <c r="V15" s="1786"/>
      <c r="W15" s="1786"/>
      <c r="X15" s="350"/>
      <c r="Y15" s="350"/>
      <c r="Z15" s="362"/>
      <c r="AA15" s="362"/>
      <c r="AB15" s="362"/>
      <c r="AC15" s="360">
        <f t="shared" si="0"/>
        <v>0</v>
      </c>
      <c r="AD15" s="338"/>
      <c r="AE15" s="361"/>
      <c r="AF15" s="575"/>
      <c r="AG15" s="575"/>
      <c r="AH15" s="575"/>
      <c r="AI15" s="575"/>
      <c r="AJ15" s="575"/>
      <c r="AK15" s="576"/>
      <c r="AL15" s="576"/>
      <c r="AM15" s="576"/>
      <c r="AN15" s="576"/>
      <c r="AO15" s="576"/>
      <c r="AP15" s="576"/>
      <c r="AQ15" s="577"/>
      <c r="AR15" s="578"/>
      <c r="AS15" s="578"/>
      <c r="AT15" s="578"/>
      <c r="AU15" s="579"/>
      <c r="AW15" s="367"/>
      <c r="AX15" s="576"/>
      <c r="AY15" s="577"/>
    </row>
    <row r="16" spans="2:51" ht="9" customHeight="1" thickBot="1" x14ac:dyDescent="0.3">
      <c r="C16" s="836"/>
      <c r="D16" s="836"/>
      <c r="E16" s="836"/>
      <c r="F16" s="836"/>
      <c r="G16" s="836"/>
      <c r="H16" s="836"/>
      <c r="I16" s="836"/>
      <c r="J16" s="836"/>
      <c r="K16" s="836"/>
      <c r="L16" s="837"/>
      <c r="M16" s="836"/>
      <c r="N16" s="836"/>
      <c r="O16" s="838"/>
      <c r="P16" s="839"/>
      <c r="Q16" s="838"/>
      <c r="R16" s="836"/>
      <c r="S16" s="836"/>
      <c r="T16" s="836"/>
      <c r="U16" s="836"/>
      <c r="V16" s="840"/>
      <c r="W16" s="841"/>
      <c r="X16" s="350"/>
      <c r="Y16" s="365"/>
      <c r="Z16" s="365"/>
      <c r="AA16" s="365"/>
      <c r="AB16" s="365"/>
      <c r="AC16" s="360">
        <f t="shared" si="0"/>
        <v>0</v>
      </c>
      <c r="AD16" s="338"/>
      <c r="AE16" s="361"/>
    </row>
    <row r="17" spans="2:36" ht="16.2" thickBot="1" x14ac:dyDescent="0.3">
      <c r="C17" s="1770" t="s">
        <v>1088</v>
      </c>
      <c r="D17" s="1771"/>
      <c r="E17" s="1771"/>
      <c r="F17" s="1771"/>
      <c r="G17" s="1771"/>
      <c r="H17" s="1771"/>
      <c r="I17" s="1771"/>
      <c r="J17" s="1771"/>
      <c r="K17" s="1771"/>
      <c r="L17" s="1771"/>
      <c r="M17" s="1771"/>
      <c r="N17" s="1771"/>
      <c r="O17" s="1771"/>
      <c r="P17" s="1772"/>
      <c r="Q17" s="834"/>
      <c r="R17" s="1770" t="s">
        <v>1089</v>
      </c>
      <c r="S17" s="1771"/>
      <c r="T17" s="1771"/>
      <c r="U17" s="1771"/>
      <c r="V17" s="1771"/>
      <c r="W17" s="1772"/>
      <c r="X17" s="581"/>
      <c r="Y17" s="365"/>
      <c r="Z17" s="365"/>
      <c r="AA17" s="365"/>
      <c r="AB17" s="365"/>
      <c r="AC17" s="360">
        <f t="shared" si="0"/>
        <v>0</v>
      </c>
      <c r="AD17" s="366"/>
      <c r="AE17" s="367"/>
    </row>
    <row r="18" spans="2:36" ht="9" customHeight="1" thickBot="1" x14ac:dyDescent="0.3">
      <c r="C18" s="836"/>
      <c r="D18" s="836"/>
      <c r="E18" s="836"/>
      <c r="F18" s="836"/>
      <c r="G18" s="836"/>
      <c r="H18" s="836"/>
      <c r="I18" s="836"/>
      <c r="J18" s="836"/>
      <c r="K18" s="836"/>
      <c r="L18" s="837"/>
      <c r="M18" s="836"/>
      <c r="N18" s="836"/>
      <c r="O18" s="838"/>
      <c r="P18" s="839"/>
      <c r="Q18" s="838"/>
      <c r="R18" s="836"/>
      <c r="S18" s="836"/>
      <c r="T18" s="836"/>
      <c r="U18" s="836"/>
      <c r="V18" s="840"/>
      <c r="W18" s="841"/>
      <c r="X18" s="581"/>
      <c r="Y18" s="365"/>
      <c r="Z18" s="365"/>
      <c r="AA18" s="365"/>
      <c r="AB18" s="365"/>
      <c r="AC18" s="360">
        <f t="shared" si="0"/>
        <v>0</v>
      </c>
      <c r="AD18" s="338"/>
      <c r="AE18" s="338"/>
    </row>
    <row r="19" spans="2:36" ht="16.2" thickBot="1" x14ac:dyDescent="0.3">
      <c r="C19" s="1015"/>
      <c r="D19" s="1769" t="s">
        <v>1090</v>
      </c>
      <c r="E19" s="1769"/>
      <c r="F19" s="1769"/>
      <c r="G19" s="1769"/>
      <c r="H19" s="1769"/>
      <c r="I19" s="1769"/>
      <c r="J19" s="1769"/>
      <c r="K19" s="1769"/>
      <c r="L19" s="1769"/>
      <c r="M19" s="1769"/>
      <c r="N19" s="1769"/>
      <c r="O19" s="1769"/>
      <c r="P19" s="1769"/>
      <c r="Q19" s="1769"/>
      <c r="R19" s="1769"/>
      <c r="S19" s="1769"/>
      <c r="T19" s="1769"/>
      <c r="U19" s="1769"/>
      <c r="V19" s="1769"/>
      <c r="W19" s="1769"/>
      <c r="X19" s="581"/>
      <c r="Y19" s="365"/>
      <c r="Z19" s="365"/>
      <c r="AA19" s="365"/>
      <c r="AB19" s="365"/>
      <c r="AC19" s="360">
        <f t="shared" si="0"/>
        <v>0</v>
      </c>
      <c r="AD19" s="366"/>
      <c r="AE19" s="367"/>
    </row>
    <row r="20" spans="2:36" ht="9" customHeight="1" thickBot="1" x14ac:dyDescent="0.3">
      <c r="C20" s="836"/>
      <c r="D20" s="836"/>
      <c r="E20" s="836"/>
      <c r="F20" s="836"/>
      <c r="G20" s="836"/>
      <c r="H20" s="836"/>
      <c r="I20" s="836"/>
      <c r="J20" s="836"/>
      <c r="K20" s="836"/>
      <c r="L20" s="837"/>
      <c r="M20" s="836"/>
      <c r="N20" s="836"/>
      <c r="O20" s="838"/>
      <c r="P20" s="839"/>
      <c r="Q20" s="838"/>
      <c r="R20" s="836"/>
      <c r="S20" s="836"/>
      <c r="T20" s="836"/>
      <c r="U20" s="836"/>
      <c r="V20" s="840"/>
      <c r="W20" s="841"/>
      <c r="X20" s="350"/>
      <c r="Y20" s="365"/>
      <c r="Z20" s="365"/>
      <c r="AA20" s="365"/>
      <c r="AB20" s="365"/>
      <c r="AC20" s="360">
        <f t="shared" si="0"/>
        <v>0</v>
      </c>
      <c r="AD20" s="338"/>
      <c r="AE20" s="338"/>
    </row>
    <row r="21" spans="2:36" ht="16.2" thickBot="1" x14ac:dyDescent="0.3">
      <c r="C21" s="1015" t="s">
        <v>1091</v>
      </c>
      <c r="D21" s="1769" t="s">
        <v>593</v>
      </c>
      <c r="E21" s="1769"/>
      <c r="F21" s="1769"/>
      <c r="G21" s="1769"/>
      <c r="H21" s="1769"/>
      <c r="I21" s="1769"/>
      <c r="J21" s="1769"/>
      <c r="K21" s="1769"/>
      <c r="L21" s="1769"/>
      <c r="M21" s="1769"/>
      <c r="N21" s="1769"/>
      <c r="O21" s="1769"/>
      <c r="P21" s="1769"/>
      <c r="Q21" s="1769"/>
      <c r="R21" s="1769"/>
      <c r="S21" s="1769"/>
      <c r="T21" s="1769"/>
      <c r="U21" s="1769"/>
      <c r="V21" s="1769"/>
      <c r="W21" s="1769"/>
      <c r="X21" s="486"/>
      <c r="Y21" s="369"/>
      <c r="Z21" s="369"/>
      <c r="AA21" s="369"/>
      <c r="AB21" s="369"/>
      <c r="AC21" s="360">
        <f t="shared" si="0"/>
        <v>1</v>
      </c>
      <c r="AD21" s="366"/>
      <c r="AE21" s="367"/>
      <c r="AF21" s="370"/>
      <c r="AG21" s="370"/>
      <c r="AH21" s="370"/>
      <c r="AI21" s="370"/>
      <c r="AJ21" s="370"/>
    </row>
    <row r="22" spans="2:36" s="583" customFormat="1" ht="36" customHeight="1" x14ac:dyDescent="0.25">
      <c r="B22" s="582">
        <f>+IF(OR(AC22=0,AC22=1),0,COUNTIF(AC$19:AC22,AC22))</f>
        <v>1</v>
      </c>
      <c r="C22" s="842" t="str">
        <f>+_xlfn.CONCAT($C$21,".",SUBTOTAL(103,$X$22:X22))</f>
        <v>3.1.1</v>
      </c>
      <c r="D22" s="1066" t="str">
        <f>+VLOOKUP(B22,'CÁLCULO CONDUCTORES DE MT'!$B$17:$BR$264,3,FALSE)</f>
        <v>SDT-8</v>
      </c>
      <c r="E22" s="1067" t="str">
        <f>+VLOOKUP(D22,'CÁLCULO CONDUCTORES DE MT'!$D$2:$CF$263,2,FALSE)</f>
        <v>TRANSFORMADOR DE DISTRIBUCIÓN</v>
      </c>
      <c r="F22" s="1068" t="str">
        <f>+VLOOKUP(D22,'CÁLCULO CONDUCTORES DE MT'!$D$2:$CF$263,3,FALSE)</f>
        <v>LPB E0701</v>
      </c>
      <c r="G22" s="1066">
        <v>225</v>
      </c>
      <c r="H22" s="1069" t="str">
        <f>+VLOOKUP(D22,'CÁLCULO CONDUCTORES DE MT'!$D$2:$CF$263,6,FALSE)</f>
        <v>kVA</v>
      </c>
      <c r="I22" s="1066">
        <f>+VLOOKUP(D22,'CÁLCULO CONDUCTORES DE MT'!$D$2:$CF$263,7,FALSE)</f>
        <v>34500</v>
      </c>
      <c r="J22" s="1070">
        <f>+VLOOKUP(D22,'CÁLCULO CONDUCTORES DE MT'!$D$2:$CF$263,8,FALSE)</f>
        <v>3</v>
      </c>
      <c r="K22" s="1071">
        <f>+VLOOKUP(D22,'CÁLCULO CONDUCTORES DE MT'!$D$2:$CF$263,9,FALSE)</f>
        <v>0.80830156595608427</v>
      </c>
      <c r="L22" s="1072">
        <v>5</v>
      </c>
      <c r="M22" s="1073">
        <f>SQRT(1+POWER((L22/100),2))</f>
        <v>1.0012492197250393</v>
      </c>
      <c r="N22" s="1074">
        <f>+VLOOKUP(D22,'CÁLCULO CONDUCTORES DE MT'!$D$2:$CF$263,10,FALSE)</f>
        <v>0.98</v>
      </c>
      <c r="O22" s="1075"/>
      <c r="P22" s="1076">
        <f>ROUND(IF(OR(X22="TABLERO",X22="CCM",X22="SWITCHGEAR"),0,(IF(X22="TRANSFORMADOR EN ACEITE",(IF(I22&lt;=15000,IF(G22&lt;=150,(((-0.0103)*((G22)^(2)))+((13.892)*(G22))+(106.65))/1000,IF(AND(G22&gt;150,G22&lt;=800),(((10.465)*(G22))+(537))/1000,IF(AND(G22&gt;800,G22&lt;=3750),(((9.2632)*(G22))+(1875.2))/1000,"NO SE ENCUENTRA"))),IF(AND(I22&gt;15000,I22&lt;=46000),(IF(AND(G22&gt;=75,G22&lt;=800),((41.0332)*((G22)^(0.818))),(((-0.0004)*((G22)^(2)))+((9.9981)*(G22))+(2447.5))))/1000))),IF(X22="TRANSFORMADOR SECO",IF(I22&lt;=15000,(VLOOKUP(G22,Listas!$A$72:$I$88,6,FALSE))/1000,IF(I22&lt;=1200,(VLOOKUP(G22,Listas!$A$97:$I$113,6,FALSE))/1000,"EL TRANSFORMADOR NO PUEDE SER SECO")),IF(X22="MOTOR",((G22*0.746)*(1-N22/1)),IF(OR(X22="VFD",X22="UPS",X22="PLC",X22="ILUMINACIÓN",X22="TOMAS",X22="FILTRO",X22="RESISTENCIA DE C.",X22="CAJA DE VENTEO"),IF(H22="kW",G22*(1-(N22/1)),IF(H22="kVA",G22*K22*(1-(N22/1)),"N/A")))))))),2)</f>
        <v>3.45</v>
      </c>
      <c r="Q22" s="843"/>
      <c r="R22" s="1097" t="str">
        <f>+VLOOKUP(D22,'CÁLCULO CONDUCTORES DE MT'!$D$2:$CF$263,19,FALSE)</f>
        <v>P-05-03-SDT-8</v>
      </c>
      <c r="S22" s="1098">
        <f>+VLOOKUP(D22,'CÁLCULO CONDUCTORES DE MT'!$D$2:$CF$263,4,FALSE)</f>
        <v>4</v>
      </c>
      <c r="T22" s="1066" t="str">
        <f>+VLOOKUP(D22,'CÁLCULO CONDUCTORES DE MT'!$D$2:$CF$263,18,FALSE)</f>
        <v>1x[3x(1x1/0 AWG)]</v>
      </c>
      <c r="U22" s="1069" t="str">
        <f>+VLOOKUP(D22,'CÁLCULO CONDUCTORES DE MT'!$D$2:$CF$263,35,FALSE)</f>
        <v>Al</v>
      </c>
      <c r="V22" s="1099"/>
      <c r="W22" s="1100">
        <v>0.12</v>
      </c>
      <c r="X22" s="584" t="s">
        <v>743</v>
      </c>
      <c r="Y22" s="343">
        <f>+VLOOKUP(D22,'CÁLCULO CONDUCTORES DE MT'!$D$2:$BE$263,32,FALSE)</f>
        <v>1</v>
      </c>
      <c r="Z22" s="343" t="str">
        <f>+VLOOKUP(D22,'CÁLCULO CONDUCTORES DE MT'!$D$2:$BE$263,31,FALSE)</f>
        <v>1/0 AWG</v>
      </c>
      <c r="AA22" s="343">
        <f>+Y22</f>
        <v>1</v>
      </c>
      <c r="AB22" s="343" t="str">
        <f>IF((VLOOKUP(D22,'CÁLCULO CONDUCTORES DE MT'!$D$2:$BE$263,47,FALSE))="No",LOOKUP((IF(VLOOKUP(D22,'CÁLCULO CONDUCTORES DE MT'!$D$2:$BE$263,15,FALSE)="VER NOTAS",15,VLOOKUP(D22,'CÁLCULO CONDUCTORES DE MT'!$D$2:$BE$263,15,FALSE))),CONDUCTORES!$A$111:$A$131,IF(VLOOKUP(D22,'CÁLCULO CONDUCTORES DE MT'!$D$2:$BE$263,35,FALSE)="Cu",CONDUCTORES!$B$111:$B$131,CONDUCTORES!$C$111:$C$131)),VLOOKUP(D22,'CÁLCULO CONDUCTORES DE MT'!$D$2:$BE$263,47,FALSE))</f>
        <v>10 AWG</v>
      </c>
      <c r="AC22" s="360">
        <f t="shared" si="0"/>
        <v>2</v>
      </c>
      <c r="AD22" s="366"/>
      <c r="AE22" s="361"/>
    </row>
    <row r="23" spans="2:36" ht="9" customHeight="1" thickBot="1" x14ac:dyDescent="0.3">
      <c r="C23" s="836"/>
      <c r="D23" s="836"/>
      <c r="E23" s="836"/>
      <c r="F23" s="836"/>
      <c r="G23" s="836"/>
      <c r="H23" s="836"/>
      <c r="I23" s="836"/>
      <c r="J23" s="836"/>
      <c r="K23" s="836"/>
      <c r="L23" s="837"/>
      <c r="M23" s="836"/>
      <c r="N23" s="836"/>
      <c r="O23" s="838"/>
      <c r="P23" s="839"/>
      <c r="Q23" s="838"/>
      <c r="R23" s="836"/>
      <c r="S23" s="836"/>
      <c r="T23" s="836"/>
      <c r="U23" s="836"/>
      <c r="V23" s="840"/>
      <c r="W23" s="841"/>
      <c r="X23" s="486"/>
      <c r="Y23" s="369"/>
      <c r="Z23" s="369"/>
      <c r="AA23" s="369"/>
      <c r="AB23" s="369"/>
      <c r="AC23" s="360">
        <f t="shared" si="0"/>
        <v>0</v>
      </c>
      <c r="AD23" s="338"/>
      <c r="AE23" s="338"/>
    </row>
    <row r="24" spans="2:36" ht="16.2" thickBot="1" x14ac:dyDescent="0.3">
      <c r="C24" s="1015"/>
      <c r="D24" s="1769" t="s">
        <v>1092</v>
      </c>
      <c r="E24" s="1769"/>
      <c r="F24" s="1769"/>
      <c r="G24" s="1769"/>
      <c r="H24" s="1769"/>
      <c r="I24" s="1769"/>
      <c r="J24" s="1769"/>
      <c r="K24" s="1769"/>
      <c r="L24" s="1769"/>
      <c r="M24" s="1769"/>
      <c r="N24" s="1769"/>
      <c r="O24" s="1769"/>
      <c r="P24" s="1769"/>
      <c r="Q24" s="1769"/>
      <c r="R24" s="1769"/>
      <c r="S24" s="1769"/>
      <c r="T24" s="1769"/>
      <c r="U24" s="1769"/>
      <c r="V24" s="1769"/>
      <c r="W24" s="1769"/>
      <c r="X24" s="486"/>
      <c r="Y24" s="369"/>
      <c r="Z24" s="369"/>
      <c r="AA24" s="369"/>
      <c r="AB24" s="369"/>
      <c r="AC24" s="360">
        <f t="shared" si="0"/>
        <v>0</v>
      </c>
      <c r="AD24" s="366"/>
      <c r="AE24" s="367"/>
      <c r="AF24" s="370"/>
      <c r="AG24" s="370"/>
      <c r="AH24" s="370"/>
      <c r="AI24" s="370"/>
      <c r="AJ24" s="370"/>
    </row>
    <row r="25" spans="2:36" ht="9" customHeight="1" thickBot="1" x14ac:dyDescent="0.3">
      <c r="C25" s="846"/>
      <c r="D25" s="836"/>
      <c r="E25" s="836"/>
      <c r="F25" s="836"/>
      <c r="G25" s="836"/>
      <c r="H25" s="836"/>
      <c r="I25" s="836"/>
      <c r="J25" s="836"/>
      <c r="K25" s="836"/>
      <c r="L25" s="837"/>
      <c r="M25" s="836"/>
      <c r="N25" s="836"/>
      <c r="O25" s="838"/>
      <c r="P25" s="839"/>
      <c r="Q25" s="838"/>
      <c r="R25" s="836"/>
      <c r="S25" s="836"/>
      <c r="T25" s="836"/>
      <c r="U25" s="836"/>
      <c r="V25" s="840"/>
      <c r="W25" s="841"/>
      <c r="X25" s="486"/>
      <c r="Y25" s="369"/>
      <c r="Z25" s="369"/>
      <c r="AA25" s="369"/>
      <c r="AB25" s="369"/>
      <c r="AC25" s="360">
        <f t="shared" si="0"/>
        <v>0</v>
      </c>
      <c r="AD25" s="338"/>
      <c r="AE25" s="338"/>
    </row>
    <row r="26" spans="2:36" ht="16.2" thickBot="1" x14ac:dyDescent="0.3">
      <c r="C26" s="1015" t="s">
        <v>1093</v>
      </c>
      <c r="D26" s="1785" t="str">
        <f>+'H2-CONDUCTORES DE BT'!D17</f>
        <v>ALIMENTADORES 480 V</v>
      </c>
      <c r="E26" s="1785"/>
      <c r="F26" s="1785"/>
      <c r="G26" s="1785"/>
      <c r="H26" s="1785"/>
      <c r="I26" s="1785"/>
      <c r="J26" s="1785"/>
      <c r="K26" s="1785"/>
      <c r="L26" s="1785"/>
      <c r="M26" s="1785"/>
      <c r="N26" s="1785"/>
      <c r="O26" s="1785"/>
      <c r="P26" s="1785"/>
      <c r="Q26" s="1785"/>
      <c r="R26" s="1785"/>
      <c r="S26" s="1785"/>
      <c r="T26" s="1785"/>
      <c r="U26" s="1785"/>
      <c r="V26" s="1785"/>
      <c r="W26" s="1785"/>
      <c r="X26" s="486"/>
      <c r="Y26" s="369"/>
      <c r="Z26" s="369"/>
      <c r="AA26" s="369"/>
      <c r="AB26" s="369"/>
      <c r="AC26" s="360">
        <f t="shared" si="0"/>
        <v>1</v>
      </c>
      <c r="AD26" s="366"/>
      <c r="AE26" s="367"/>
      <c r="AF26" s="370"/>
      <c r="AG26" s="370"/>
      <c r="AH26" s="370"/>
      <c r="AI26" s="370"/>
      <c r="AJ26" s="370"/>
    </row>
    <row r="27" spans="2:36" s="371" customFormat="1" ht="34.799999999999997" customHeight="1" x14ac:dyDescent="0.25">
      <c r="B27" s="582">
        <f>+IF(OR(AC27=0,AC27=1),0,COUNTIF(AC$24:AC27,AC27))</f>
        <v>1</v>
      </c>
      <c r="C27" s="844" t="str">
        <f>+_xlfn.CONCAT($C$26,".",SUBTOTAL(103,$X$27:X27))</f>
        <v>3.2.1</v>
      </c>
      <c r="D27" s="1077" t="str">
        <f>+'H2-CONDUCTORES DE BT'!D18</f>
        <v>TBT08</v>
      </c>
      <c r="E27" s="1078" t="str">
        <f>+VLOOKUP(D27,'H2-CONDUCTORES DE BT'!$D$2:$BL$155,2,FALSE)</f>
        <v>TABLERO BAJA TENSIÓN (EXISTENTE)</v>
      </c>
      <c r="F27" s="1079" t="str">
        <f>+VLOOKUP(D27,'H2-CONDUCTORES DE BT'!$D$2:$BL$155,3,FALSE)</f>
        <v>SDT-8</v>
      </c>
      <c r="G27" s="1077">
        <v>225</v>
      </c>
      <c r="H27" s="1080" t="str">
        <f>+VLOOKUP(D27,'H2-CONDUCTORES DE BT'!$D$2:$BL$155,7,FALSE)</f>
        <v>kVA</v>
      </c>
      <c r="I27" s="1077">
        <f>+VLOOKUP(D27,'H2-CONDUCTORES DE BT'!$D$2:$BL$155,8,FALSE)</f>
        <v>480</v>
      </c>
      <c r="J27" s="1081">
        <f>+VLOOKUP(D27,'H2-CONDUCTORES DE BT'!$D$2:$BL$155,9,FALSE)</f>
        <v>3</v>
      </c>
      <c r="K27" s="1082">
        <f>+VLOOKUP(D27,'H2-CONDUCTORES DE BT'!$D$2:$BL$155,10,FALSE)</f>
        <v>0.80830156595608427</v>
      </c>
      <c r="L27" s="1083">
        <v>5</v>
      </c>
      <c r="M27" s="1084">
        <f t="shared" ref="M27:M28" si="1">SQRT(1+POWER((L27/100),2))</f>
        <v>1.0012492197250393</v>
      </c>
      <c r="N27" s="1085">
        <f>+VLOOKUP(D27,'H2-CONDUCTORES DE BT'!$D$2:$BL$155,11,FALSE)</f>
        <v>0.98</v>
      </c>
      <c r="O27" s="1086"/>
      <c r="P27" s="1082">
        <f>ROUND(IF(OR(X27="TABLERO",X27="CCM",X27="SWITCHGEAR"),0,(IF(X27="TRANSFORMADOR EN ACEITE",(IF(I27&lt;=15000,IF(G27&lt;=150,(((-0.0103)*((G27)^(2)))+((13.892)*(G27))+(106.65))/1000,IF(AND(G27&gt;150,G27&lt;=800),(((10.465)*(G27))+(537))/1000,IF(AND(G27&gt;800,G27&lt;=3750),(((9.2632)*(G27))+(1875.2))/1000,"NO SE ENCUENTRA"))),IF(AND(I27&gt;15000,I27&lt;=46000),(IF(AND(G27&gt;=75,G27&lt;=800),((41.0332)*((G27)^(0.818))),(((-0.0004)*((G27)^(2)))+((9.9981)*(G27))+(2447.5))))/1000))),IF(X27="TRANSFORMADOR SECO",IF(I27&lt;=15000,(VLOOKUP(G27,Listas!$A$72:$I$88,6,FALSE))/1000,IF(I27&lt;=1200,(VLOOKUP(G27,Listas!$A$97:$I$113,6,FALSE))/1000,"EL TRANSFORMADOR NO PUEDE SER SECO")),IF(X27="MOTOR",((G27*0.746)*(1-N27/1)),IF(OR(X27="VFD",X27="UPS",X27="PLC",X27="ILUMINACIÓN",X27="TOMAS",X27="FILTRO",X27="RESISTENCIA DE C.",X27="CAJA DE VENTEO"),IF(H27="kW",G27*(1-(N27/1)),IF(H27="kVA",G27*K27*(1-(N27/1)),"N/A")))))))),2)</f>
        <v>0</v>
      </c>
      <c r="Q27" s="847"/>
      <c r="R27" s="1104" t="str">
        <f>+VLOOKUP(D27,'H2-CONDUCTORES DE BT'!$D$2:$BL$155,21,FALSE)</f>
        <v>1/2-P-06-08-TBT08</v>
      </c>
      <c r="S27" s="1105">
        <f>+VLOOKUP(D27,'H2-CONDUCTORES DE BT'!$D$2:$BL$155,4,FALSE)</f>
        <v>13</v>
      </c>
      <c r="T27" s="1077" t="str">
        <f>+VLOOKUP(D27,'H2-CONDUCTORES DE BT'!$D$2:$BL$155,20,FALSE)</f>
        <v>2x[3x(1x4/0 AWG)] + 2x(2Gx1/0 AWG)</v>
      </c>
      <c r="U27" s="1080" t="str">
        <f>+VLOOKUP(D27,'H2-CONDUCTORES DE BT'!$D$2:$BL$155,40,FALSE)</f>
        <v>Al</v>
      </c>
      <c r="V27" s="1106"/>
      <c r="W27" s="1100">
        <v>494.11</v>
      </c>
      <c r="X27" s="584" t="s">
        <v>746</v>
      </c>
      <c r="Y27" s="343">
        <f>+VLOOKUP(D27,'H2-CONDUCTORES DE BT'!$D$2:$BL$155,37,FALSE)</f>
        <v>2</v>
      </c>
      <c r="Z27" s="343" t="str">
        <f>+VLOOKUP(D27,'H2-CONDUCTORES DE BT'!$D$2:$BL$155,36,FALSE)</f>
        <v>4/0 AWG</v>
      </c>
      <c r="AA27" s="343">
        <f>IF(VLOOKUP(D27,'H2-CONDUCTORES DE BT'!$D$2:$BI$155,50,FALSE)&lt;&gt;1,VLOOKUP(D27,'H2-CONDUCTORES DE BT'!$D$2:$BI$155,50,FALSE),IF(VLOOKUP(D27,'H2-CONDUCTORES DE BT'!$D$2:$BI$155,23,FALSE)="BANDEJA",1,IF(VLOOKUP(D27,'H2-CONDUCTORES DE BT'!$D$2:$BI$155,24,FALSE)&lt;&gt;3,IF(((VLOOKUP(D27,'H2-CONDUCTORES DE BT'!$D$2:$BI$155,24,FALSE))/3)=Y27,1),VLOOKUP(D27,'H2-CONDUCTORES DE BT'!$D$2:$BI$155,37,FALSE))))</f>
        <v>2</v>
      </c>
      <c r="AB27" s="343" t="str">
        <f>+(IF((VLOOKUP(D27,'H2-CONDUCTORES DE BT'!$D$2:$BL$155,40,FALSE))="Al",IF((VLOOKUP(D27,'H2-CONDUCTORES DE BT'!$D$2:$BL$155,51,FALSE))="No",LOOKUP((VLOOKUP(D27,'H2-CONDUCTORES DE BT'!$D$2:$BL$155,16,FALSE)),CONDUCTORES!$A$111:$A$131,CONDUCTORES!$C$111:$C$131),(VLOOKUP(D27,'H2-CONDUCTORES DE BT'!$D$2:$BL$155,51,FALSE))),IF((VLOOKUP(D27,'H2-CONDUCTORES DE BT'!$D$2:$BL$155,51,FALSE))="No",LOOKUP((VLOOKUP(D27,'H2-CONDUCTORES DE BT'!$D$2:$BL$155,16,FALSE)),CONDUCTORES!$A$111:$A$131,CONDUCTORES!$B$111:$B$131),(VLOOKUP(D27,'H2-CONDUCTORES DE BT'!$D$2:$BL$155,51,FALSE)))))</f>
        <v>1/0 AWG</v>
      </c>
      <c r="AC27" s="360">
        <f t="shared" si="0"/>
        <v>2</v>
      </c>
      <c r="AD27" s="366"/>
      <c r="AE27" s="367"/>
    </row>
    <row r="28" spans="2:36" s="371" customFormat="1" ht="39" customHeight="1" x14ac:dyDescent="0.25">
      <c r="B28" s="582">
        <f>+IF(OR(AC28=0,AC28=1),0,COUNTIF(AC$24:AC28,AC28))</f>
        <v>2</v>
      </c>
      <c r="C28" s="845" t="str">
        <f>+_xlfn.CONCAT($C$26,".",SUBTOTAL(103,$X$27:X28))</f>
        <v>3.2.2</v>
      </c>
      <c r="D28" s="1087" t="str">
        <f>+'H2-CONDUCTORES DE BT'!D19</f>
        <v>LPB E0701-BT</v>
      </c>
      <c r="E28" s="1088" t="str">
        <f>+VLOOKUP(D28,'H2-CONDUCTORES DE BT'!$D$2:$BL$155,2,FALSE)</f>
        <v>ESTRUCTURA BAJA TENSIÓN (EXISTENTE)</v>
      </c>
      <c r="F28" s="1089" t="str">
        <f>+VLOOKUP(D28,'H2-CONDUCTORES DE BT'!$D$2:$BL$155,3,FALSE)</f>
        <v>TBT08</v>
      </c>
      <c r="G28" s="1087">
        <f>+VLOOKUP(D28,'H2-CONDUCTORES DE BT'!$D$2:$BL$155,6,FALSE)</f>
        <v>114.61</v>
      </c>
      <c r="H28" s="1090" t="str">
        <f>+VLOOKUP(D28,'H2-CONDUCTORES DE BT'!$D$2:$BL$155,7,FALSE)</f>
        <v>kVA</v>
      </c>
      <c r="I28" s="1087">
        <f>+VLOOKUP(D28,'H2-CONDUCTORES DE BT'!$D$2:$BL$155,8,FALSE)</f>
        <v>480</v>
      </c>
      <c r="J28" s="1091">
        <f>+VLOOKUP(D28,'H2-CONDUCTORES DE BT'!$D$2:$BL$155,9,FALSE)</f>
        <v>3</v>
      </c>
      <c r="K28" s="1092">
        <f>+VLOOKUP(D28,'H2-CONDUCTORES DE BT'!$D$2:$BL$155,10,FALSE)</f>
        <v>0.79600000000000004</v>
      </c>
      <c r="L28" s="1093">
        <v>5</v>
      </c>
      <c r="M28" s="1094">
        <f t="shared" si="1"/>
        <v>1.0012492197250393</v>
      </c>
      <c r="N28" s="1095">
        <f>+VLOOKUP(D28,'H2-CONDUCTORES DE BT'!$D$2:$BL$155,11,FALSE)</f>
        <v>0.94099999999999995</v>
      </c>
      <c r="O28" s="1096"/>
      <c r="P28" s="1092">
        <f>ROUND(IF(OR(X28="TABLERO",X28="CCM",X28="SWITCHGEAR"),0,(IF(X28="TRANSFORMADOR EN ACEITE",(IF(I28&lt;=15000,IF(G28&lt;=150,(((-0.0103)*((G28)^(2)))+((13.892)*(G28))+(106.65))/1000,IF(AND(G28&gt;150,G28&lt;=800),(((10.465)*(G28))+(537))/1000,IF(AND(G28&gt;800,G28&lt;=3750),(((9.2632)*(G28))+(1875.2))/1000,"NO SE ENCUENTRA"))),IF(AND(I28&gt;15000,I28&lt;=46000),(IF(AND(G28&gt;=75,G28&lt;=800),((41.0332)*((G28)^(0.818))),(((-0.0004)*((G28)^(2)))+((9.9981)*(G28))+(2447.5))))/1000))),IF(X28="TRANSFORMADOR SECO",IF(I28&lt;=15000,(VLOOKUP(G28,Listas!$A$72:$I$88,6,FALSE))/1000,IF(I28&lt;=1200,(VLOOKUP(G28,Listas!$A$97:$I$113,6,FALSE))/1000,"EL TRANSFORMADOR NO PUEDE SER SECO")),IF(X28="MOTOR",((G28*0.746)*(1-N28/1)),IF(OR(X28="VFD",X28="UPS",X28="PLC",X28="ILUMINACIÓN",X28="TOMAS",X28="FILTRO",X28="RESISTENCIA DE C.",X28="CAJA DE VENTEO"),IF(H28="kW",G28*(1-(N28/1)),IF(H28="kVA",G28*K28*(1-(N28/1)),"N/A")))))))),2)</f>
        <v>0</v>
      </c>
      <c r="Q28" s="848"/>
      <c r="R28" s="1101" t="str">
        <f>+VLOOKUP(D28,'H2-CONDUCTORES DE BT'!$D$2:$BL$155,21,FALSE)</f>
        <v>1/2-P-06-08-LPB E0701-BT</v>
      </c>
      <c r="S28" s="1102">
        <f>+VLOOKUP(D28,'H2-CONDUCTORES DE BT'!$D$2:$BL$155,4,FALSE)</f>
        <v>15</v>
      </c>
      <c r="T28" s="1087" t="str">
        <f>+VLOOKUP(D28,'H2-CONDUCTORES DE BT'!$D$2:$BL$155,20,FALSE)</f>
        <v>2x[3x(1x2/0 AWG)] + 1x(2Gx4 AWG)</v>
      </c>
      <c r="U28" s="1090" t="str">
        <f>+VLOOKUP(D28,'H2-CONDUCTORES DE BT'!$D$2:$BL$155,40,FALSE)</f>
        <v>Al</v>
      </c>
      <c r="V28" s="1107"/>
      <c r="W28" s="1103">
        <f>ROUND((((VLOOKUP(D28,'H2-CONDUCTORES DE BT'!$D$2:$BL$155,12,FALSE)*M28)/((MID(T28,1,1))))^2)*((IF(U28="Al",VLOOKUP(Z28,CONDUCTORES!$B$9:$K$23,9,FALSE),VLOOKUP(Z28,CONDUCTORES!$B$9:$K$23,7,FALSE)))*(S28/1000))*((MID(T28,1,1))*(MID(T28,4,1))),2)</f>
        <v>236.77</v>
      </c>
      <c r="X28" s="584" t="s">
        <v>746</v>
      </c>
      <c r="Y28" s="343">
        <f>+VLOOKUP(D28,'H2-CONDUCTORES DE BT'!$D$2:$BL$155,37,FALSE)</f>
        <v>2</v>
      </c>
      <c r="Z28" s="343" t="str">
        <f>+VLOOKUP(D28,'H2-CONDUCTORES DE BT'!$D$2:$BL$155,36,FALSE)</f>
        <v>2/0 AWG</v>
      </c>
      <c r="AA28" s="343">
        <f>IF(VLOOKUP(D28,'H2-CONDUCTORES DE BT'!$D$2:$BI$155,50,FALSE)&lt;&gt;1,VLOOKUP(D28,'H2-CONDUCTORES DE BT'!$D$2:$BI$155,50,FALSE),IF(VLOOKUP(D28,'H2-CONDUCTORES DE BT'!$D$2:$BI$155,23,FALSE)="BANDEJA",1,IF(VLOOKUP(D28,'H2-CONDUCTORES DE BT'!$D$2:$BI$155,24,FALSE)&lt;&gt;3,IF(((VLOOKUP(D28,'H2-CONDUCTORES DE BT'!$D$2:$BI$155,24,FALSE))/3)=Y28,1),VLOOKUP(D28,'H2-CONDUCTORES DE BT'!$D$2:$BI$155,37,FALSE))))</f>
        <v>2</v>
      </c>
      <c r="AB28" s="343" t="str">
        <f>+(IF((VLOOKUP(D28,'H2-CONDUCTORES DE BT'!$D$2:$BL$155,40,FALSE))="Al",IF((VLOOKUP(D28,'H2-CONDUCTORES DE BT'!$D$2:$BL$155,51,FALSE))="No",LOOKUP((VLOOKUP(D28,'H2-CONDUCTORES DE BT'!$D$2:$BL$155,16,FALSE)),CONDUCTORES!$A$111:$A$131,CONDUCTORES!$C$111:$C$131),(VLOOKUP(D28,'H2-CONDUCTORES DE BT'!$D$2:$BL$155,51,FALSE))),IF((VLOOKUP(D28,'H2-CONDUCTORES DE BT'!$D$2:$BL$155,51,FALSE))="No",LOOKUP((VLOOKUP(D28,'H2-CONDUCTORES DE BT'!$D$2:$BL$155,16,FALSE)),CONDUCTORES!$A$111:$A$131,CONDUCTORES!$B$111:$B$131),(VLOOKUP(D28,'H2-CONDUCTORES DE BT'!$D$2:$BL$155,51,FALSE)))))</f>
        <v>4 AWG</v>
      </c>
      <c r="AC28" s="360">
        <f t="shared" si="0"/>
        <v>2</v>
      </c>
      <c r="AD28" s="366"/>
      <c r="AE28" s="361"/>
    </row>
    <row r="29" spans="2:36" s="371" customFormat="1" ht="33.75" customHeight="1" x14ac:dyDescent="0.25">
      <c r="B29" s="582">
        <f>+IF(OR(AC29=0,AC29=1),0,COUNTIF(AC$24:AC29,AC29))</f>
        <v>3</v>
      </c>
      <c r="C29" s="845" t="str">
        <f>+_xlfn.CONCAT($C$26,".",SUBTOTAL(103,$X$27:X29))</f>
        <v>3.2.3</v>
      </c>
      <c r="D29" s="1087" t="str">
        <f>+'H2-CONDUCTORES DE BT'!D20</f>
        <v>PE04</v>
      </c>
      <c r="E29" s="1088" t="str">
        <f>+VLOOKUP(D29,'H2-CONDUCTORES DE BT'!$D$2:$BL$155,2,FALSE)</f>
        <v>POSTE BAJA TENSIÓN (EXISTENTE)</v>
      </c>
      <c r="F29" s="1089" t="str">
        <f>+VLOOKUP(D29,'H2-CONDUCTORES DE BT'!$D$2:$BL$155,3,FALSE)</f>
        <v>LPB E0701-BT</v>
      </c>
      <c r="G29" s="1087">
        <f>+VLOOKUP(D29,'H2-CONDUCTORES DE BT'!$D$2:$BL$155,6,FALSE)</f>
        <v>114.61</v>
      </c>
      <c r="H29" s="1090" t="str">
        <f>+VLOOKUP(D29,'H2-CONDUCTORES DE BT'!$D$2:$BL$155,7,FALSE)</f>
        <v>kVA</v>
      </c>
      <c r="I29" s="1087">
        <f>+VLOOKUP(D29,'H2-CONDUCTORES DE BT'!$D$2:$BL$155,8,FALSE)</f>
        <v>480</v>
      </c>
      <c r="J29" s="1091">
        <f>+VLOOKUP(D29,'H2-CONDUCTORES DE BT'!$D$2:$BL$155,9,FALSE)</f>
        <v>3</v>
      </c>
      <c r="K29" s="1092">
        <f>+VLOOKUP(D29,'H2-CONDUCTORES DE BT'!$D$2:$BL$155,10,FALSE)</f>
        <v>0.79600000000000004</v>
      </c>
      <c r="L29" s="1093">
        <v>5</v>
      </c>
      <c r="M29" s="1094">
        <f t="shared" ref="M29:M35" si="2">SQRT(1+POWER((L29/100),2))</f>
        <v>1.0012492197250393</v>
      </c>
      <c r="N29" s="1095">
        <f>+VLOOKUP(D29,'H2-CONDUCTORES DE BT'!$D$2:$BL$155,11,FALSE)</f>
        <v>0.94099999999999995</v>
      </c>
      <c r="O29" s="1096"/>
      <c r="P29" s="1092">
        <f>ROUND(IF(OR(X29="TABLERO",X29="CCM",X29="SWITCHGEAR"),0,(IF(X29="TRANSFORMADOR EN ACEITE",(IF(I29&lt;=15000,IF(G29&lt;=150,(((-0.0103)*((G29)^(2)))+((13.892)*(G29))+(106.65))/1000,IF(AND(G29&gt;150,G29&lt;=800),(((10.465)*(G29))+(537))/1000,IF(AND(G29&gt;800,G29&lt;=3750),(((9.2632)*(G29))+(1875.2))/1000,"NO SE ENCUENTRA"))),IF(AND(I29&gt;15000,I29&lt;=46000),(IF(AND(G29&gt;=75,G29&lt;=800),((41.0332)*((G29)^(0.818))),(((-0.0004)*((G29)^(2)))+((9.9981)*(G29))+(2447.5))))/1000))),IF(X29="TRANSFORMADOR SECO",IF(I29&lt;=15000,(VLOOKUP(G29,Listas!$A$72:$I$88,6,FALSE))/1000,IF(I29&lt;=1200,(VLOOKUP(G29,Listas!$A$97:$I$113,6,FALSE))/1000,"EL TRANSFORMADOR NO PUEDE SER SECO")),IF(X29="MOTOR",((G29*0.746)*(1-N29/1)),IF(OR(X29="VFD",X29="UPS",X29="PLC",X29="ILUMINACIÓN",X29="TOMAS",X29="FILTRO",X29="RESISTENCIA DE C.",X29="CAJA DE VENTEO"),IF(H29="kW",G29*(1-(N29/1)),IF(H29="kVA",G29*K29*(1-(N29/1)),"N/A")))))))),2)</f>
        <v>0</v>
      </c>
      <c r="Q29" s="848"/>
      <c r="R29" s="1101" t="str">
        <f>+VLOOKUP(D29,'H2-CONDUCTORES DE BT'!$D$2:$BL$155,21,FALSE)</f>
        <v>1/2-P-06-08-PE04</v>
      </c>
      <c r="S29" s="1102">
        <f>+VLOOKUP(D29,'H2-CONDUCTORES DE BT'!$D$2:$BL$155,4,FALSE)</f>
        <v>228</v>
      </c>
      <c r="T29" s="1087" t="str">
        <f>+VLOOKUP(D29,'H2-CONDUCTORES DE BT'!$D$2:$BL$155,20,FALSE)</f>
        <v>2x[3x(1x4/0 AWG)] + 2x(1Nx4/0 AWG)</v>
      </c>
      <c r="U29" s="1090" t="str">
        <f>+VLOOKUP(D29,'H2-CONDUCTORES DE BT'!$D$2:$BL$155,40,FALSE)</f>
        <v>Al</v>
      </c>
      <c r="V29" s="1107"/>
      <c r="W29" s="1103">
        <f>ROUND((((VLOOKUP(D29,'H2-CONDUCTORES DE BT'!$D$2:$BL$155,12,FALSE)*M29)/((MID(T29,1,1))))^2)*((IF(U29="Al",VLOOKUP(Z29,CONDUCTORES!$B$9:$K$23,9,FALSE),VLOOKUP(Z29,CONDUCTORES!$B$9:$K$23,7,FALSE)))*(S29/1000))*((MID(T29,1,1))*(MID(T29,4,1))),2)</f>
        <v>2248.5</v>
      </c>
      <c r="X29" s="584" t="s">
        <v>746</v>
      </c>
      <c r="Y29" s="343">
        <f>+VLOOKUP(D29,'H2-CONDUCTORES DE BT'!$D$2:$BL$155,37,FALSE)</f>
        <v>2</v>
      </c>
      <c r="Z29" s="343" t="str">
        <f>+VLOOKUP(D29,'H2-CONDUCTORES DE BT'!$D$2:$BL$155,36,FALSE)</f>
        <v>4/0 AWG</v>
      </c>
      <c r="AA29" s="343">
        <f>IF(VLOOKUP(D29,'H2-CONDUCTORES DE BT'!$D$2:$BI$155,50,FALSE)&lt;&gt;1,VLOOKUP(D29,'H2-CONDUCTORES DE BT'!$D$2:$BI$155,50,FALSE),IF(VLOOKUP(D29,'H2-CONDUCTORES DE BT'!$D$2:$BI$155,23,FALSE)="BANDEJA",1,IF(VLOOKUP(D29,'H2-CONDUCTORES DE BT'!$D$2:$BI$155,24,FALSE)&lt;&gt;3,IF(((VLOOKUP(D29,'H2-CONDUCTORES DE BT'!$D$2:$BI$155,24,FALSE))/3)=Y29,1),VLOOKUP(D29,'H2-CONDUCTORES DE BT'!$D$2:$BI$155,37,FALSE))))</f>
        <v>2</v>
      </c>
      <c r="AB29" s="343" t="str">
        <f>+(IF((VLOOKUP(D29,'H2-CONDUCTORES DE BT'!$D$2:$BL$155,40,FALSE))="Al",IF((VLOOKUP(D29,'H2-CONDUCTORES DE BT'!$D$2:$BL$155,51,FALSE))="No",LOOKUP((VLOOKUP(D29,'H2-CONDUCTORES DE BT'!$D$2:$BL$155,16,FALSE)),CONDUCTORES!$A$111:$A$131,CONDUCTORES!$C$111:$C$131),(VLOOKUP(D29,'H2-CONDUCTORES DE BT'!$D$2:$BL$155,51,FALSE))),IF((VLOOKUP(D29,'H2-CONDUCTORES DE BT'!$D$2:$BL$155,51,FALSE))="No",LOOKUP((VLOOKUP(D29,'H2-CONDUCTORES DE BT'!$D$2:$BL$155,16,FALSE)),CONDUCTORES!$A$111:$A$131,CONDUCTORES!$B$111:$B$131),(VLOOKUP(D29,'H2-CONDUCTORES DE BT'!$D$2:$BL$155,51,FALSE)))))</f>
        <v>4/0 AWG</v>
      </c>
      <c r="AC29" s="360">
        <f t="shared" ref="AC29:AC35" si="3">LEN(C29)-LEN(SUBSTITUTE(C29,IF(ISNUMBER(FIND(".",C29)),".",","),""))</f>
        <v>2</v>
      </c>
      <c r="AD29" s="366"/>
      <c r="AE29" s="361"/>
    </row>
    <row r="30" spans="2:36" s="371" customFormat="1" ht="38.25" customHeight="1" x14ac:dyDescent="0.25">
      <c r="B30" s="582">
        <f>+IF(OR(AC30=0,AC30=1),0,COUNTIF(AC$24:AC30,AC30))</f>
        <v>4</v>
      </c>
      <c r="C30" s="845" t="str">
        <f>+_xlfn.CONCAT($C$26,".",SUBTOTAL(103,$X$27:X30))</f>
        <v>3.2.4</v>
      </c>
      <c r="D30" s="1087" t="str">
        <f>+'H2-CONDUCTORES DE BT'!D21</f>
        <v>TBT-DT-97</v>
      </c>
      <c r="E30" s="1088" t="str">
        <f>+VLOOKUP(D30,'H2-CONDUCTORES DE BT'!$D$2:$BL$155,2,FALSE)</f>
        <v>TABLERO BAJA TENSIÓN (EXISTENTE)</v>
      </c>
      <c r="F30" s="1089" t="str">
        <f>+VLOOKUP(D30,'H2-CONDUCTORES DE BT'!$D$2:$BL$155,3,FALSE)</f>
        <v>PE04</v>
      </c>
      <c r="G30" s="1087">
        <f>+VLOOKUP(D30,'H2-CONDUCTORES DE BT'!$D$2:$BL$155,6,FALSE)</f>
        <v>114.61</v>
      </c>
      <c r="H30" s="1090" t="str">
        <f>+VLOOKUP(D30,'H2-CONDUCTORES DE BT'!$D$2:$BL$155,7,FALSE)</f>
        <v>kVA</v>
      </c>
      <c r="I30" s="1087">
        <f>+VLOOKUP(D30,'H2-CONDUCTORES DE BT'!$D$2:$BL$155,8,FALSE)</f>
        <v>480</v>
      </c>
      <c r="J30" s="1091">
        <f>+VLOOKUP(D30,'H2-CONDUCTORES DE BT'!$D$2:$BL$155,9,FALSE)</f>
        <v>3</v>
      </c>
      <c r="K30" s="1092">
        <f>+VLOOKUP(D30,'H2-CONDUCTORES DE BT'!$D$2:$BL$155,10,FALSE)</f>
        <v>0.79600000000000004</v>
      </c>
      <c r="L30" s="1093">
        <v>5</v>
      </c>
      <c r="M30" s="1094">
        <f t="shared" si="2"/>
        <v>1.0012492197250393</v>
      </c>
      <c r="N30" s="1095">
        <f>+VLOOKUP(D30,'H2-CONDUCTORES DE BT'!$D$2:$BL$155,11,FALSE)</f>
        <v>0.94099999999999995</v>
      </c>
      <c r="O30" s="1096"/>
      <c r="P30" s="1092">
        <f>ROUND(IF(OR(X30="TABLERO",X30="CCM",X30="SWITCHGEAR"),0,(IF(X30="TRANSFORMADOR EN ACEITE",(IF(I30&lt;=15000,IF(G30&lt;=150,(((-0.0103)*((G30)^(2)))+((13.892)*(G30))+(106.65))/1000,IF(AND(G30&gt;150,G30&lt;=800),(((10.465)*(G30))+(537))/1000,IF(AND(G30&gt;800,G30&lt;=3750),(((9.2632)*(G30))+(1875.2))/1000,"NO SE ENCUENTRA"))),IF(AND(I30&gt;15000,I30&lt;=46000),(IF(AND(G30&gt;=75,G30&lt;=800),((41.0332)*((G30)^(0.818))),(((-0.0004)*((G30)^(2)))+((9.9981)*(G30))+(2447.5))))/1000))),IF(X30="TRANSFORMADOR SECO",IF(I30&lt;=15000,(VLOOKUP(G30,Listas!$A$72:$I$88,6,FALSE))/1000,IF(I30&lt;=1200,(VLOOKUP(G30,Listas!$A$97:$I$113,6,FALSE))/1000,"EL TRANSFORMADOR NO PUEDE SER SECO")),IF(X30="MOTOR",((G30*0.746)*(1-N30/1)),IF(OR(X30="VFD",X30="UPS",X30="PLC",X30="ILUMINACIÓN",X30="TOMAS",X30="FILTRO",X30="RESISTENCIA DE C.",X30="CAJA DE VENTEO"),IF(H30="kW",G30*(1-(N30/1)),IF(H30="kVA",G30*K30*(1-(N30/1)),"N/A")))))))),2)</f>
        <v>0</v>
      </c>
      <c r="Q30" s="848"/>
      <c r="R30" s="1101" t="str">
        <f>+VLOOKUP(D30,'H2-CONDUCTORES DE BT'!$D$2:$BL$155,21,FALSE)</f>
        <v>1/2-P-06-08-TBT-DT-97</v>
      </c>
      <c r="S30" s="1102">
        <f>+VLOOKUP(D30,'H2-CONDUCTORES DE BT'!$D$2:$BL$155,4,FALSE)</f>
        <v>15</v>
      </c>
      <c r="T30" s="1087" t="str">
        <f>+VLOOKUP(D30,'H2-CONDUCTORES DE BT'!$D$2:$BL$155,20,FALSE)</f>
        <v>2x[3x(1x2/0 AWG)] + 1x(2Gx4 AWG)</v>
      </c>
      <c r="U30" s="1090" t="str">
        <f>+VLOOKUP(D30,'H2-CONDUCTORES DE BT'!$D$2:$BL$155,40,FALSE)</f>
        <v>Al</v>
      </c>
      <c r="V30" s="1107"/>
      <c r="W30" s="1103">
        <f>ROUND((((VLOOKUP(D30,'H2-CONDUCTORES DE BT'!$D$2:$BL$155,12,FALSE)*M30)/((MID(T30,1,1))))^2)*((IF(U30="Al",VLOOKUP(Z30,CONDUCTORES!$B$9:$K$23,9,FALSE),VLOOKUP(Z30,CONDUCTORES!$B$9:$K$23,7,FALSE)))*(S30/1000))*((MID(T30,1,1))*(MID(T30,4,1))),2)</f>
        <v>236.77</v>
      </c>
      <c r="X30" s="584" t="s">
        <v>746</v>
      </c>
      <c r="Y30" s="343">
        <f>+VLOOKUP(D30,'H2-CONDUCTORES DE BT'!$D$2:$BL$155,37,FALSE)</f>
        <v>2</v>
      </c>
      <c r="Z30" s="343" t="str">
        <f>+VLOOKUP(D30,'H2-CONDUCTORES DE BT'!$D$2:$BL$155,36,FALSE)</f>
        <v>2/0 AWG</v>
      </c>
      <c r="AA30" s="343">
        <f>IF(VLOOKUP(D30,'H2-CONDUCTORES DE BT'!$D$2:$BI$155,50,FALSE)&lt;&gt;1,VLOOKUP(D30,'H2-CONDUCTORES DE BT'!$D$2:$BI$155,50,FALSE),IF(VLOOKUP(D30,'H2-CONDUCTORES DE BT'!$D$2:$BI$155,23,FALSE)="BANDEJA",1,IF(VLOOKUP(D30,'H2-CONDUCTORES DE BT'!$D$2:$BI$155,24,FALSE)&lt;&gt;3,IF(((VLOOKUP(D30,'H2-CONDUCTORES DE BT'!$D$2:$BI$155,24,FALSE))/3)=Y30,1),VLOOKUP(D30,'H2-CONDUCTORES DE BT'!$D$2:$BI$155,37,FALSE))))</f>
        <v>2</v>
      </c>
      <c r="AB30" s="343" t="str">
        <f>+(IF((VLOOKUP(D30,'H2-CONDUCTORES DE BT'!$D$2:$BL$155,40,FALSE))="Al",IF((VLOOKUP(D30,'H2-CONDUCTORES DE BT'!$D$2:$BL$155,51,FALSE))="No",LOOKUP((VLOOKUP(D30,'H2-CONDUCTORES DE BT'!$D$2:$BL$155,16,FALSE)),CONDUCTORES!$A$111:$A$131,CONDUCTORES!$C$111:$C$131),(VLOOKUP(D30,'H2-CONDUCTORES DE BT'!$D$2:$BL$155,51,FALSE))),IF((VLOOKUP(D30,'H2-CONDUCTORES DE BT'!$D$2:$BL$155,51,FALSE))="No",LOOKUP((VLOOKUP(D30,'H2-CONDUCTORES DE BT'!$D$2:$BL$155,16,FALSE)),CONDUCTORES!$A$111:$A$131,CONDUCTORES!$B$111:$B$131),(VLOOKUP(D30,'H2-CONDUCTORES DE BT'!$D$2:$BL$155,51,FALSE)))))</f>
        <v>4 AWG</v>
      </c>
      <c r="AC30" s="360">
        <f t="shared" si="3"/>
        <v>2</v>
      </c>
      <c r="AD30" s="366"/>
      <c r="AE30" s="361"/>
    </row>
    <row r="31" spans="2:36" s="371" customFormat="1" ht="32.4" customHeight="1" x14ac:dyDescent="0.25">
      <c r="B31" s="582">
        <f>+IF(OR(AC31=0,AC31=1),0,COUNTIF(AC$24:AC31,AC31))</f>
        <v>5</v>
      </c>
      <c r="C31" s="845" t="str">
        <f>+_xlfn.CONCAT($C$26,".",SUBTOTAL(103,$X$27:X31))</f>
        <v>3.2.5</v>
      </c>
      <c r="D31" s="1087" t="str">
        <f>+'H2-CONDUCTORES DE BT'!D22</f>
        <v>VFD-DT-58</v>
      </c>
      <c r="E31" s="1088" t="str">
        <f>+VLOOKUP(D31,'H2-CONDUCTORES DE BT'!$D$2:$BL$155,2,FALSE)</f>
        <v>VARIADOR DE FRECUENCIA (PROYECTADO)</v>
      </c>
      <c r="F31" s="1089" t="str">
        <f>+VLOOKUP(D31,'H2-CONDUCTORES DE BT'!$D$2:$BL$155,3,FALSE)</f>
        <v>TBT-DT-97</v>
      </c>
      <c r="G31" s="1087">
        <f>+VLOOKUP(D31,'H2-CONDUCTORES DE BT'!$D$2:$BL$155,6,FALSE)</f>
        <v>62.53</v>
      </c>
      <c r="H31" s="1090" t="str">
        <f>+VLOOKUP(D31,'H2-CONDUCTORES DE BT'!$D$2:$BL$155,7,FALSE)</f>
        <v>kVA</v>
      </c>
      <c r="I31" s="1087">
        <f>+VLOOKUP(D31,'H2-CONDUCTORES DE BT'!$D$2:$BL$155,8,FALSE)</f>
        <v>480</v>
      </c>
      <c r="J31" s="1091">
        <f>+VLOOKUP(D31,'H2-CONDUCTORES DE BT'!$D$2:$BL$155,9,FALSE)</f>
        <v>3</v>
      </c>
      <c r="K31" s="1092">
        <f>+VLOOKUP(D31,'H2-CONDUCTORES DE BT'!$D$2:$BL$155,10,FALSE)</f>
        <v>0.79600000000000004</v>
      </c>
      <c r="L31" s="1093">
        <v>5</v>
      </c>
      <c r="M31" s="1094">
        <f t="shared" si="2"/>
        <v>1.0012492197250393</v>
      </c>
      <c r="N31" s="1095">
        <f>+VLOOKUP(D31,'H2-CONDUCTORES DE BT'!$D$2:$BL$155,11,FALSE)</f>
        <v>0.94099999999999995</v>
      </c>
      <c r="O31" s="1096"/>
      <c r="P31" s="1092">
        <f>ROUND(IF(OR(X31="TABLERO",X31="CCM",X31="SWITCHGEAR"),0,(IF(X31="TRANSFORMADOR EN ACEITE",(IF(I31&lt;=15000,IF(G31&lt;=150,(((-0.0103)*((G31)^(2)))+((13.892)*(G31))+(106.65))/1000,IF(AND(G31&gt;150,G31&lt;=800),(((10.465)*(G31))+(537))/1000,IF(AND(G31&gt;800,G31&lt;=3750),(((9.2632)*(G31))+(1875.2))/1000,"NO SE ENCUENTRA"))),IF(AND(I31&gt;15000,I31&lt;=46000),(IF(AND(G31&gt;=75,G31&lt;=800),((41.0332)*((G31)^(0.818))),(((-0.0004)*((G31)^(2)))+((9.9981)*(G31))+(2447.5))))/1000))),IF(X31="TRANSFORMADOR SECO",IF(I31&lt;=15000,(VLOOKUP(G31,Listas!$A$72:$I$88,6,FALSE))/1000,IF(I31&lt;=1200,(VLOOKUP(G31,Listas!$A$97:$I$113,6,FALSE))/1000,"EL TRANSFORMADOR NO PUEDE SER SECO")),IF(X31="MOTOR",((G31*0.746)*(1-N31/1)),IF(OR(X31="VFD",X31="UPS",X31="PLC",X31="ILUMINACIÓN",X31="TOMAS",X31="FILTRO",X31="RESISTENCIA DE C.",X31="CAJA DE VENTEO"),IF(H31="kW",G31*(1-(N31/1)),IF(H31="kVA",G31*K31*(1-(N31/1)),"N/A")))))))),2)</f>
        <v>2.94</v>
      </c>
      <c r="Q31" s="848"/>
      <c r="R31" s="1101" t="str">
        <f>+VLOOKUP(D31,'H2-CONDUCTORES DE BT'!$D$2:$BL$155,21,FALSE)</f>
        <v>P-06-08-VFD-DT-58</v>
      </c>
      <c r="S31" s="1102">
        <f>+VLOOKUP(D31,'H2-CONDUCTORES DE BT'!$D$2:$BL$155,4,FALSE)</f>
        <v>5</v>
      </c>
      <c r="T31" s="1087" t="str">
        <f>+VLOOKUP(D31,'H2-CONDUCTORES DE BT'!$D$2:$BL$155,20,FALSE)</f>
        <v>1x[3x(1x1/0 AWG)] + 1x(1Gx4 AWG)</v>
      </c>
      <c r="U31" s="1090" t="str">
        <f>+VLOOKUP(D31,'H2-CONDUCTORES DE BT'!$D$2:$BL$155,40,FALSE)</f>
        <v>Al</v>
      </c>
      <c r="V31" s="1107"/>
      <c r="W31" s="1103">
        <f>ROUND((((VLOOKUP(D31,'H2-CONDUCTORES DE BT'!$D$2:$BL$155,12,FALSE)*M31)/((MID(T31,1,1))))^2)*((IF(U31="Al",VLOOKUP(Z31,CONDUCTORES!$B$9:$K$23,9,FALSE),VLOOKUP(Z31,CONDUCTORES!$B$9:$K$23,7,FALSE)))*(S31/1000))*((MID(T31,1,1))*(MID(T31,4,1))),2)</f>
        <v>58.71</v>
      </c>
      <c r="X31" s="584" t="s">
        <v>308</v>
      </c>
      <c r="Y31" s="343">
        <f>+VLOOKUP(D31,'H2-CONDUCTORES DE BT'!$D$2:$BL$155,37,FALSE)</f>
        <v>1</v>
      </c>
      <c r="Z31" s="343" t="str">
        <f>+VLOOKUP(D31,'H2-CONDUCTORES DE BT'!$D$2:$BL$155,36,FALSE)</f>
        <v>1/0 AWG</v>
      </c>
      <c r="AA31" s="343">
        <f>IF(VLOOKUP(D31,'H2-CONDUCTORES DE BT'!$D$2:$BI$155,50,FALSE)&lt;&gt;1,VLOOKUP(D31,'H2-CONDUCTORES DE BT'!$D$2:$BI$155,50,FALSE),IF(VLOOKUP(D31,'H2-CONDUCTORES DE BT'!$D$2:$BI$155,23,FALSE)="BANDEJA",1,IF(VLOOKUP(D31,'H2-CONDUCTORES DE BT'!$D$2:$BI$155,24,FALSE)&lt;&gt;3,IF(((VLOOKUP(D31,'H2-CONDUCTORES DE BT'!$D$2:$BI$155,24,FALSE))/3)=Y31,1),VLOOKUP(D31,'H2-CONDUCTORES DE BT'!$D$2:$BI$155,37,FALSE))))</f>
        <v>1</v>
      </c>
      <c r="AB31" s="343" t="str">
        <f>+(IF((VLOOKUP(D31,'H2-CONDUCTORES DE BT'!$D$2:$BL$155,40,FALSE))="Al",IF((VLOOKUP(D31,'H2-CONDUCTORES DE BT'!$D$2:$BL$155,51,FALSE))="No",LOOKUP((VLOOKUP(D31,'H2-CONDUCTORES DE BT'!$D$2:$BL$155,16,FALSE)),CONDUCTORES!$A$111:$A$131,CONDUCTORES!$C$111:$C$131),(VLOOKUP(D31,'H2-CONDUCTORES DE BT'!$D$2:$BL$155,51,FALSE))),IF((VLOOKUP(D31,'H2-CONDUCTORES DE BT'!$D$2:$BL$155,51,FALSE))="No",LOOKUP((VLOOKUP(D31,'H2-CONDUCTORES DE BT'!$D$2:$BL$155,16,FALSE)),CONDUCTORES!$A$111:$A$131,CONDUCTORES!$B$111:$B$131),(VLOOKUP(D31,'H2-CONDUCTORES DE BT'!$D$2:$BL$155,51,FALSE)))))</f>
        <v>4 AWG</v>
      </c>
      <c r="AC31" s="360">
        <f t="shared" si="3"/>
        <v>2</v>
      </c>
      <c r="AD31" s="366"/>
      <c r="AE31" s="361"/>
    </row>
    <row r="32" spans="2:36" s="371" customFormat="1" ht="38.4" customHeight="1" x14ac:dyDescent="0.25">
      <c r="B32" s="582">
        <f>+IF(OR(AC32=0,AC32=1),0,COUNTIF(AC$24:AC32,AC32))</f>
        <v>6</v>
      </c>
      <c r="C32" s="845" t="str">
        <f>+_xlfn.CONCAT($C$26,".",SUBTOTAL(103,$X$27:X32))</f>
        <v>3.2.6</v>
      </c>
      <c r="D32" s="1087" t="str">
        <f>+'H2-CONDUCTORES DE BT'!D23</f>
        <v>PCP-DT-58</v>
      </c>
      <c r="E32" s="1088" t="str">
        <f>+VLOOKUP(D32,'H2-CONDUCTORES DE BT'!$D$2:$BL$155,2,FALSE)</f>
        <v>MOTOR PCP (PROYECTADO)</v>
      </c>
      <c r="F32" s="1089" t="str">
        <f>+VLOOKUP(D32,'H2-CONDUCTORES DE BT'!$D$2:$BL$155,3,FALSE)</f>
        <v>VFD-DT-58</v>
      </c>
      <c r="G32" s="1087">
        <f>+VLOOKUP(D32,'H2-CONDUCTORES DE BT'!$D$2:$BL$155,6,FALSE)</f>
        <v>62.53</v>
      </c>
      <c r="H32" s="1090" t="str">
        <f>+VLOOKUP(D32,'H2-CONDUCTORES DE BT'!$D$2:$BL$155,7,FALSE)</f>
        <v>kVA</v>
      </c>
      <c r="I32" s="1087">
        <f>+VLOOKUP(D32,'H2-CONDUCTORES DE BT'!$D$2:$BL$155,8,FALSE)</f>
        <v>480</v>
      </c>
      <c r="J32" s="1091">
        <f>+VLOOKUP(D32,'H2-CONDUCTORES DE BT'!$D$2:$BL$155,9,FALSE)</f>
        <v>3</v>
      </c>
      <c r="K32" s="1092">
        <f>+VLOOKUP(D32,'H2-CONDUCTORES DE BT'!$D$2:$BL$155,10,FALSE)</f>
        <v>0.79600000000000004</v>
      </c>
      <c r="L32" s="1093">
        <v>5</v>
      </c>
      <c r="M32" s="1094">
        <f t="shared" si="2"/>
        <v>1.0012492197250393</v>
      </c>
      <c r="N32" s="1095">
        <f>+VLOOKUP(D32,'H2-CONDUCTORES DE BT'!$D$2:$BL$155,11,FALSE)</f>
        <v>0.94099999999999995</v>
      </c>
      <c r="O32" s="1096"/>
      <c r="P32" s="1092">
        <f>ROUND(IF(OR(X32="TABLERO",X32="CCM",X32="SWITCHGEAR"),0,(IF(X32="TRANSFORMADOR EN ACEITE",(IF(I32&lt;=15000,IF(G32&lt;=150,(((-0.0103)*((G32)^(2)))+((13.892)*(G32))+(106.65))/1000,IF(AND(G32&gt;150,G32&lt;=800),(((10.465)*(G32))+(537))/1000,IF(AND(G32&gt;800,G32&lt;=3750),(((9.2632)*(G32))+(1875.2))/1000,"NO SE ENCUENTRA"))),IF(AND(I32&gt;15000,I32&lt;=46000),(IF(AND(G32&gt;=75,G32&lt;=800),((41.0332)*((G32)^(0.818))),(((-0.0004)*((G32)^(2)))+((9.9981)*(G32))+(2447.5))))/1000))),IF(X32="TRANSFORMADOR SECO",IF(I32&lt;=15000,(VLOOKUP(G32,Listas!$A$72:$I$88,6,FALSE))/1000,IF(I32&lt;=1200,(VLOOKUP(G32,Listas!$A$97:$I$113,6,FALSE))/1000,"EL TRANSFORMADOR NO PUEDE SER SECO")),IF(X32="MOTOR",((G32*0.746)*(1-N32/1)),IF(OR(X32="VFD",X32="UPS",X32="PLC",X32="ILUMINACIÓN",X32="TOMAS",X32="FILTRO",X32="RESISTENCIA DE C.",X32="CAJA DE VENTEO"),IF(H32="kW",G32*(1-(N32/1)),IF(H32="kVA",G32*K32*(1-(N32/1)),"N/A")))))))),2)</f>
        <v>2.75</v>
      </c>
      <c r="Q32" s="848"/>
      <c r="R32" s="1101" t="str">
        <f>+VLOOKUP(D32,'H2-CONDUCTORES DE BT'!$D$2:$BL$155,21,FALSE)</f>
        <v>P-06-08-PCP-DT-58</v>
      </c>
      <c r="S32" s="1102">
        <f>+VLOOKUP(D32,'H2-CONDUCTORES DE BT'!$D$2:$BL$155,4,FALSE)</f>
        <v>54</v>
      </c>
      <c r="T32" s="1087" t="str">
        <f>+VLOOKUP(D32,'H2-CONDUCTORES DE BT'!$D$2:$BL$155,20,FALSE)</f>
        <v>1x[3x(1x1/0 AWG)] + 1x(1Gx4 AWG)</v>
      </c>
      <c r="U32" s="1090" t="str">
        <f>+VLOOKUP(D32,'H2-CONDUCTORES DE BT'!$D$2:$BL$155,40,FALSE)</f>
        <v>Al</v>
      </c>
      <c r="V32" s="1107"/>
      <c r="W32" s="1103">
        <f>ROUND((((VLOOKUP(D32,'H2-CONDUCTORES DE BT'!$D$2:$BL$155,12,FALSE)*M32)/((MID(T32,1,1))))^2)*((IF(U32="Al",VLOOKUP(Z32,CONDUCTORES!$B$9:$K$23,9,FALSE),VLOOKUP(Z32,CONDUCTORES!$B$9:$K$23,7,FALSE)))*(S32/1000))*((MID(T32,1,1))*(MID(T32,4,1))),2)</f>
        <v>634.08000000000004</v>
      </c>
      <c r="X32" s="584" t="s">
        <v>750</v>
      </c>
      <c r="Y32" s="343">
        <f>+VLOOKUP(D32,'H2-CONDUCTORES DE BT'!$D$2:$BL$155,37,FALSE)</f>
        <v>1</v>
      </c>
      <c r="Z32" s="343" t="str">
        <f>+VLOOKUP(D32,'H2-CONDUCTORES DE BT'!$D$2:$BL$155,36,FALSE)</f>
        <v>1/0 AWG</v>
      </c>
      <c r="AA32" s="343">
        <f>IF(VLOOKUP(D32,'H2-CONDUCTORES DE BT'!$D$2:$BI$155,50,FALSE)&lt;&gt;1,VLOOKUP(D32,'H2-CONDUCTORES DE BT'!$D$2:$BI$155,50,FALSE),IF(VLOOKUP(D32,'H2-CONDUCTORES DE BT'!$D$2:$BI$155,23,FALSE)="BANDEJA",1,IF(VLOOKUP(D32,'H2-CONDUCTORES DE BT'!$D$2:$BI$155,24,FALSE)&lt;&gt;3,IF(((VLOOKUP(D32,'H2-CONDUCTORES DE BT'!$D$2:$BI$155,24,FALSE))/3)=Y32,1),VLOOKUP(D32,'H2-CONDUCTORES DE BT'!$D$2:$BI$155,37,FALSE))))</f>
        <v>1</v>
      </c>
      <c r="AB32" s="343" t="str">
        <f>+(IF((VLOOKUP(D32,'H2-CONDUCTORES DE BT'!$D$2:$BL$155,40,FALSE))="Al",IF((VLOOKUP(D32,'H2-CONDUCTORES DE BT'!$D$2:$BL$155,51,FALSE))="No",LOOKUP((VLOOKUP(D32,'H2-CONDUCTORES DE BT'!$D$2:$BL$155,16,FALSE)),CONDUCTORES!$A$111:$A$131,CONDUCTORES!$C$111:$C$131),(VLOOKUP(D32,'H2-CONDUCTORES DE BT'!$D$2:$BL$155,51,FALSE))),IF((VLOOKUP(D32,'H2-CONDUCTORES DE BT'!$D$2:$BL$155,51,FALSE))="No",LOOKUP((VLOOKUP(D32,'H2-CONDUCTORES DE BT'!$D$2:$BL$155,16,FALSE)),CONDUCTORES!$A$111:$A$131,CONDUCTORES!$B$111:$B$131),(VLOOKUP(D32,'H2-CONDUCTORES DE BT'!$D$2:$BL$155,51,FALSE)))))</f>
        <v>4 AWG</v>
      </c>
      <c r="AC32" s="360">
        <f t="shared" si="3"/>
        <v>2</v>
      </c>
      <c r="AD32" s="366"/>
      <c r="AE32" s="361"/>
    </row>
    <row r="33" spans="2:32" s="371" customFormat="1" ht="32.4" customHeight="1" x14ac:dyDescent="0.25">
      <c r="B33" s="582">
        <f>+IF(OR(AC33=0,AC33=1),0,COUNTIF(AC$24:AC33,AC33))</f>
        <v>7</v>
      </c>
      <c r="C33" s="845" t="str">
        <f>+_xlfn.CONCAT($C$26,".",SUBTOTAL(103,$X$27:X33))</f>
        <v>3.2.7</v>
      </c>
      <c r="D33" s="1087" t="str">
        <f>+'H2-CONDUCTORES DE BT'!D24</f>
        <v>MR-DT-58</v>
      </c>
      <c r="E33" s="1088" t="str">
        <f>+VLOOKUP(D33,'H2-CONDUCTORES DE BT'!$D$2:$BL$155,2,FALSE)</f>
        <v>MOTOR ROTADOR (PROYECTADO)</v>
      </c>
      <c r="F33" s="1089" t="str">
        <f>+VLOOKUP(D33,'H2-CONDUCTORES DE BT'!$D$2:$BL$155,3,FALSE)</f>
        <v>VFD-DT-58</v>
      </c>
      <c r="G33" s="1087">
        <f>+VLOOKUP(D33,'H2-CONDUCTORES DE BT'!$D$2:$BL$155,6,FALSE)</f>
        <v>1</v>
      </c>
      <c r="H33" s="1090" t="str">
        <f>+VLOOKUP(D33,'H2-CONDUCTORES DE BT'!$D$2:$BL$155,7,FALSE)</f>
        <v>kVA</v>
      </c>
      <c r="I33" s="1087">
        <f>+VLOOKUP(D33,'H2-CONDUCTORES DE BT'!$D$2:$BL$155,8,FALSE)</f>
        <v>480</v>
      </c>
      <c r="J33" s="1091">
        <f>+VLOOKUP(D33,'H2-CONDUCTORES DE BT'!$D$2:$BL$155,9,FALSE)</f>
        <v>3</v>
      </c>
      <c r="K33" s="1092">
        <f>+VLOOKUP(D33,'H2-CONDUCTORES DE BT'!$D$2:$BL$155,10,FALSE)</f>
        <v>0.79600000000000004</v>
      </c>
      <c r="L33" s="1093">
        <v>5</v>
      </c>
      <c r="M33" s="1094">
        <f t="shared" si="2"/>
        <v>1.0012492197250393</v>
      </c>
      <c r="N33" s="1095">
        <f>+VLOOKUP(D33,'H2-CONDUCTORES DE BT'!$D$2:$BL$155,11,FALSE)</f>
        <v>0.94099999999999995</v>
      </c>
      <c r="O33" s="1096"/>
      <c r="P33" s="1092">
        <f>ROUND(IF(OR(X33="TABLERO",X33="CCM",X33="SWITCHGEAR"),0,(IF(X33="TRANSFORMADOR EN ACEITE",(IF(I33&lt;=15000,IF(G33&lt;=150,(((-0.0103)*((G33)^(2)))+((13.892)*(G33))+(106.65))/1000,IF(AND(G33&gt;150,G33&lt;=800),(((10.465)*(G33))+(537))/1000,IF(AND(G33&gt;800,G33&lt;=3750),(((9.2632)*(G33))+(1875.2))/1000,"NO SE ENCUENTRA"))),IF(AND(I33&gt;15000,I33&lt;=46000),(IF(AND(G33&gt;=75,G33&lt;=800),((41.0332)*((G33)^(0.818))),(((-0.0004)*((G33)^(2)))+((9.9981)*(G33))+(2447.5))))/1000))),IF(X33="TRANSFORMADOR SECO",IF(I33&lt;=15000,(VLOOKUP(G33,Listas!$A$72:$I$88,6,FALSE))/1000,IF(I33&lt;=1200,(VLOOKUP(G33,Listas!$A$97:$I$113,6,FALSE))/1000,"EL TRANSFORMADOR NO PUEDE SER SECO")),IF(X33="MOTOR",((G33*0.746)*(1-N33/1)),IF(OR(X33="VFD",X33="UPS",X33="PLC",X33="ILUMINACIÓN",X33="TOMAS",X33="FILTRO",X33="RESISTENCIA DE C.",X33="CAJA DE VENTEO"),IF(H33="kW",G33*(1-(N33/1)),IF(H33="kVA",G33*K33*(1-(N33/1)),"N/A")))))))),2)</f>
        <v>0.04</v>
      </c>
      <c r="Q33" s="848"/>
      <c r="R33" s="1101" t="str">
        <f>+VLOOKUP(D33,'H2-CONDUCTORES DE BT'!$D$2:$BL$155,21,FALSE)</f>
        <v>P-06-08-MR-DT-58</v>
      </c>
      <c r="S33" s="1102">
        <f>+VLOOKUP(D33,'H2-CONDUCTORES DE BT'!$D$2:$BL$155,4,FALSE)</f>
        <v>54</v>
      </c>
      <c r="T33" s="1087" t="str">
        <f>+VLOOKUP(D33,'H2-CONDUCTORES DE BT'!$D$2:$BL$155,20,FALSE)</f>
        <v>1x(4x12 AWG)</v>
      </c>
      <c r="U33" s="1090" t="str">
        <f>+VLOOKUP(D33,'H2-CONDUCTORES DE BT'!$D$2:$BL$155,40,FALSE)</f>
        <v>Al</v>
      </c>
      <c r="V33" s="1107"/>
      <c r="W33" s="1103">
        <f>ROUND((((VLOOKUP(D33,'H2-CONDUCTORES DE BT'!$D$2:$BL$155,12,FALSE)*M33)/((MID(T33,1,1))))^2)*((IF(U33="Al",VLOOKUP(Z33,CONDUCTORES!$B$9:$K$23,9,FALSE),VLOOKUP(Z33,CONDUCTORES!$B$9:$K$23,7,FALSE)))*(S33/1000))*((MID(T33,1,1))*(MID(T33,4,1))),2)</f>
        <v>3.46</v>
      </c>
      <c r="X33" s="584" t="s">
        <v>750</v>
      </c>
      <c r="Y33" s="343">
        <f>+VLOOKUP(D33,'H2-CONDUCTORES DE BT'!$D$2:$BL$155,37,FALSE)</f>
        <v>1</v>
      </c>
      <c r="Z33" s="343" t="str">
        <f>+VLOOKUP(D33,'H2-CONDUCTORES DE BT'!$D$2:$BL$155,36,FALSE)</f>
        <v>12 AWG</v>
      </c>
      <c r="AA33" s="343">
        <f>IF(VLOOKUP(D33,'H2-CONDUCTORES DE BT'!$D$2:$BI$155,50,FALSE)&lt;&gt;1,VLOOKUP(D33,'H2-CONDUCTORES DE BT'!$D$2:$BI$155,50,FALSE),IF(VLOOKUP(D33,'H2-CONDUCTORES DE BT'!$D$2:$BI$155,23,FALSE)="BANDEJA",1,IF(VLOOKUP(D33,'H2-CONDUCTORES DE BT'!$D$2:$BI$155,24,FALSE)&lt;&gt;3,IF(((VLOOKUP(D33,'H2-CONDUCTORES DE BT'!$D$2:$BI$155,24,FALSE))/3)=Y33,1),VLOOKUP(D33,'H2-CONDUCTORES DE BT'!$D$2:$BI$155,37,FALSE))))</f>
        <v>1</v>
      </c>
      <c r="AB33" s="343" t="str">
        <f>+(IF((VLOOKUP(D33,'H2-CONDUCTORES DE BT'!$D$2:$BL$155,40,FALSE))="Al",IF((VLOOKUP(D33,'H2-CONDUCTORES DE BT'!$D$2:$BL$155,51,FALSE))="No",LOOKUP((VLOOKUP(D33,'H2-CONDUCTORES DE BT'!$D$2:$BL$155,16,FALSE)),CONDUCTORES!$A$111:$A$131,CONDUCTORES!$C$111:$C$131),(VLOOKUP(D33,'H2-CONDUCTORES DE BT'!$D$2:$BL$155,51,FALSE))),IF((VLOOKUP(D33,'H2-CONDUCTORES DE BT'!$D$2:$BL$155,51,FALSE))="No",LOOKUP((VLOOKUP(D33,'H2-CONDUCTORES DE BT'!$D$2:$BL$155,16,FALSE)),CONDUCTORES!$A$111:$A$131,CONDUCTORES!$B$111:$B$131),(VLOOKUP(D33,'H2-CONDUCTORES DE BT'!$D$2:$BL$155,51,FALSE)))))</f>
        <v>12 AWG</v>
      </c>
      <c r="AC33" s="360">
        <f t="shared" si="3"/>
        <v>2</v>
      </c>
      <c r="AD33" s="366"/>
      <c r="AE33" s="361"/>
    </row>
    <row r="34" spans="2:32" s="371" customFormat="1" ht="33" customHeight="1" x14ac:dyDescent="0.25">
      <c r="B34" s="582">
        <f>+IF(OR(AC34=0,AC34=1),0,COUNTIF(AC$24:AC34,AC34))</f>
        <v>8</v>
      </c>
      <c r="C34" s="845" t="str">
        <f>+_xlfn.CONCAT($C$26,".",SUBTOTAL(103,$X$27:X34))</f>
        <v>3.2.8</v>
      </c>
      <c r="D34" s="1087" t="str">
        <f>+'H2-CONDUCTORES DE BT'!D25</f>
        <v>VFD-DT-97</v>
      </c>
      <c r="E34" s="1088" t="str">
        <f>+VLOOKUP(D34,'H2-CONDUCTORES DE BT'!$D$2:$BL$155,2,FALSE)</f>
        <v>VARIADOR DE FRECUENCIA (EXISTENTE)</v>
      </c>
      <c r="F34" s="1089" t="str">
        <f>+VLOOKUP(D34,'H2-CONDUCTORES DE BT'!$D$2:$BL$155,3,FALSE)</f>
        <v>TBT-DT-97</v>
      </c>
      <c r="G34" s="1087">
        <f>+VLOOKUP(D34,'H2-CONDUCTORES DE BT'!$D$2:$BL$155,6,FALSE)</f>
        <v>46.9</v>
      </c>
      <c r="H34" s="1090" t="str">
        <f>+VLOOKUP(D34,'H2-CONDUCTORES DE BT'!$D$2:$BL$155,7,FALSE)</f>
        <v>kVA</v>
      </c>
      <c r="I34" s="1087">
        <f>+VLOOKUP(D34,'H2-CONDUCTORES DE BT'!$D$2:$BL$155,8,FALSE)</f>
        <v>480</v>
      </c>
      <c r="J34" s="1091">
        <f>+VLOOKUP(D34,'H2-CONDUCTORES DE BT'!$D$2:$BL$155,9,FALSE)</f>
        <v>3</v>
      </c>
      <c r="K34" s="1092">
        <f>+VLOOKUP(D34,'H2-CONDUCTORES DE BT'!$D$2:$BL$155,10,FALSE)</f>
        <v>0.79600000000000004</v>
      </c>
      <c r="L34" s="1093">
        <v>5</v>
      </c>
      <c r="M34" s="1094">
        <f t="shared" si="2"/>
        <v>1.0012492197250393</v>
      </c>
      <c r="N34" s="1095">
        <f>+VLOOKUP(D34,'H2-CONDUCTORES DE BT'!$D$2:$BL$155,11,FALSE)</f>
        <v>0.94099999999999995</v>
      </c>
      <c r="O34" s="1096"/>
      <c r="P34" s="1092">
        <f>ROUND(IF(OR(X34="TABLERO",X34="CCM",X34="SWITCHGEAR"),0,(IF(X34="TRANSFORMADOR EN ACEITE",(IF(I34&lt;=15000,IF(G34&lt;=150,(((-0.0103)*((G34)^(2)))+((13.892)*(G34))+(106.65))/1000,IF(AND(G34&gt;150,G34&lt;=800),(((10.465)*(G34))+(537))/1000,IF(AND(G34&gt;800,G34&lt;=3750),(((9.2632)*(G34))+(1875.2))/1000,"NO SE ENCUENTRA"))),IF(AND(I34&gt;15000,I34&lt;=46000),(IF(AND(G34&gt;=75,G34&lt;=800),((41.0332)*((G34)^(0.818))),(((-0.0004)*((G34)^(2)))+((9.9981)*(G34))+(2447.5))))/1000))),IF(X34="TRANSFORMADOR SECO",IF(I34&lt;=15000,(VLOOKUP(G34,Listas!$A$72:$I$88,6,FALSE))/1000,IF(I34&lt;=1200,(VLOOKUP(G34,Listas!$A$97:$I$113,6,FALSE))/1000,"EL TRANSFORMADOR NO PUEDE SER SECO")),IF(X34="MOTOR",((G34*0.746)*(1-N34/1)),IF(OR(X34="VFD",X34="UPS",X34="PLC",X34="ILUMINACIÓN",X34="TOMAS",X34="FILTRO",X34="RESISTENCIA DE C.",X34="CAJA DE VENTEO"),IF(H34="kW",G34*(1-(N34/1)),IF(H34="kVA",G34*K34*(1-(N34/1)),"N/A")))))))),2)</f>
        <v>2.2000000000000002</v>
      </c>
      <c r="Q34" s="848"/>
      <c r="R34" s="1101" t="str">
        <f>+VLOOKUP(D34,'H2-CONDUCTORES DE BT'!$D$2:$BL$155,21,FALSE)</f>
        <v>P-06-08-VFD-DT-97</v>
      </c>
      <c r="S34" s="1102">
        <f>+VLOOKUP(D34,'H2-CONDUCTORES DE BT'!$D$2:$BL$155,4,FALSE)</f>
        <v>5</v>
      </c>
      <c r="T34" s="1087" t="str">
        <f>+VLOOKUP(D34,'H2-CONDUCTORES DE BT'!$D$2:$BL$155,20,FALSE)</f>
        <v>1x[3x(1x1/0 AWG)] + 1x(1Gx4 AWG)</v>
      </c>
      <c r="U34" s="1090" t="str">
        <f>+VLOOKUP(D34,'H2-CONDUCTORES DE BT'!$D$2:$BL$155,40,FALSE)</f>
        <v>Al</v>
      </c>
      <c r="V34" s="1107"/>
      <c r="W34" s="1103">
        <f>ROUND((((VLOOKUP(D34,'H2-CONDUCTORES DE BT'!$D$2:$BL$155,12,FALSE)*M34)/((MID(T34,1,1))))^2)*((IF(U34="Al",VLOOKUP(Z34,CONDUCTORES!$B$9:$K$23,9,FALSE),VLOOKUP(Z34,CONDUCTORES!$B$9:$K$23,7,FALSE)))*(S34/1000))*((MID(T34,1,1))*(MID(T34,4,1))),2)</f>
        <v>33.03</v>
      </c>
      <c r="X34" s="584" t="s">
        <v>308</v>
      </c>
      <c r="Y34" s="343">
        <f>+VLOOKUP(D34,'H2-CONDUCTORES DE BT'!$D$2:$BL$155,37,FALSE)</f>
        <v>1</v>
      </c>
      <c r="Z34" s="343" t="str">
        <f>+VLOOKUP(D34,'H2-CONDUCTORES DE BT'!$D$2:$BL$155,36,FALSE)</f>
        <v>1/0 AWG</v>
      </c>
      <c r="AA34" s="343">
        <f>IF(VLOOKUP(D34,'H2-CONDUCTORES DE BT'!$D$2:$BI$155,50,FALSE)&lt;&gt;1,VLOOKUP(D34,'H2-CONDUCTORES DE BT'!$D$2:$BI$155,50,FALSE),IF(VLOOKUP(D34,'H2-CONDUCTORES DE BT'!$D$2:$BI$155,23,FALSE)="BANDEJA",1,IF(VLOOKUP(D34,'H2-CONDUCTORES DE BT'!$D$2:$BI$155,24,FALSE)&lt;&gt;3,IF(((VLOOKUP(D34,'H2-CONDUCTORES DE BT'!$D$2:$BI$155,24,FALSE))/3)=Y34,1),VLOOKUP(D34,'H2-CONDUCTORES DE BT'!$D$2:$BI$155,37,FALSE))))</f>
        <v>1</v>
      </c>
      <c r="AB34" s="343" t="str">
        <f>+(IF((VLOOKUP(D34,'H2-CONDUCTORES DE BT'!$D$2:$BL$155,40,FALSE))="Al",IF((VLOOKUP(D34,'H2-CONDUCTORES DE BT'!$D$2:$BL$155,51,FALSE))="No",LOOKUP((VLOOKUP(D34,'H2-CONDUCTORES DE BT'!$D$2:$BL$155,16,FALSE)),CONDUCTORES!$A$111:$A$131,CONDUCTORES!$C$111:$C$131),(VLOOKUP(D34,'H2-CONDUCTORES DE BT'!$D$2:$BL$155,51,FALSE))),IF((VLOOKUP(D34,'H2-CONDUCTORES DE BT'!$D$2:$BL$155,51,FALSE))="No",LOOKUP((VLOOKUP(D34,'H2-CONDUCTORES DE BT'!$D$2:$BL$155,16,FALSE)),CONDUCTORES!$A$111:$A$131,CONDUCTORES!$B$111:$B$131),(VLOOKUP(D34,'H2-CONDUCTORES DE BT'!$D$2:$BL$155,51,FALSE)))))</f>
        <v>4 AWG</v>
      </c>
      <c r="AC34" s="360">
        <f t="shared" si="3"/>
        <v>2</v>
      </c>
      <c r="AD34" s="366"/>
      <c r="AE34" s="361"/>
    </row>
    <row r="35" spans="2:32" s="371" customFormat="1" ht="34.200000000000003" customHeight="1" x14ac:dyDescent="0.25">
      <c r="B35" s="582">
        <f>+IF(OR(AC35=0,AC35=1),0,COUNTIF(AC$24:AC35,AC35))</f>
        <v>9</v>
      </c>
      <c r="C35" s="845" t="str">
        <f>+_xlfn.CONCAT($C$26,".",SUBTOTAL(103,$X$27:X35))</f>
        <v>3.2.9</v>
      </c>
      <c r="D35" s="1087" t="str">
        <f>+'H2-CONDUCTORES DE BT'!D26</f>
        <v>PCP-DT-97</v>
      </c>
      <c r="E35" s="1088" t="str">
        <f>+VLOOKUP(D35,'H2-CONDUCTORES DE BT'!$D$2:$BL$155,2,FALSE)</f>
        <v>MOTOR PCP (EXISTENTE)</v>
      </c>
      <c r="F35" s="1089" t="str">
        <f>+VLOOKUP(D35,'H2-CONDUCTORES DE BT'!$D$2:$BL$155,3,FALSE)</f>
        <v>VFD-DT-97</v>
      </c>
      <c r="G35" s="1087">
        <f>+VLOOKUP(D35,'H2-CONDUCTORES DE BT'!$D$2:$BL$155,6,FALSE)</f>
        <v>46.9</v>
      </c>
      <c r="H35" s="1090" t="str">
        <f>+VLOOKUP(D35,'H2-CONDUCTORES DE BT'!$D$2:$BL$155,7,FALSE)</f>
        <v>kVA</v>
      </c>
      <c r="I35" s="1087">
        <f>+VLOOKUP(D35,'H2-CONDUCTORES DE BT'!$D$2:$BL$155,8,FALSE)</f>
        <v>480</v>
      </c>
      <c r="J35" s="1091">
        <f>+VLOOKUP(D35,'H2-CONDUCTORES DE BT'!$D$2:$BL$155,9,FALSE)</f>
        <v>3</v>
      </c>
      <c r="K35" s="1092">
        <f>+VLOOKUP(D35,'H2-CONDUCTORES DE BT'!$D$2:$BL$155,10,FALSE)</f>
        <v>0.79600000000000004</v>
      </c>
      <c r="L35" s="1093">
        <v>5</v>
      </c>
      <c r="M35" s="1094">
        <f t="shared" si="2"/>
        <v>1.0012492197250393</v>
      </c>
      <c r="N35" s="1095">
        <f>+VLOOKUP(D35,'H2-CONDUCTORES DE BT'!$D$2:$BL$155,11,FALSE)</f>
        <v>0.94099999999999995</v>
      </c>
      <c r="O35" s="1096"/>
      <c r="P35" s="1092">
        <f>ROUND(IF(OR(X35="TABLERO",X35="CCM",X35="SWITCHGEAR"),0,(IF(X35="TRANSFORMADOR EN ACEITE",(IF(I35&lt;=15000,IF(G35&lt;=150,(((-0.0103)*((G35)^(2)))+((13.892)*(G35))+(106.65))/1000,IF(AND(G35&gt;150,G35&lt;=800),(((10.465)*(G35))+(537))/1000,IF(AND(G35&gt;800,G35&lt;=3750),(((9.2632)*(G35))+(1875.2))/1000,"NO SE ENCUENTRA"))),IF(AND(I35&gt;15000,I35&lt;=46000),(IF(AND(G35&gt;=75,G35&lt;=800),((41.0332)*((G35)^(0.818))),(((-0.0004)*((G35)^(2)))+((9.9981)*(G35))+(2447.5))))/1000))),IF(X35="TRANSFORMADOR SECO",IF(I35&lt;=15000,(VLOOKUP(G35,Listas!$A$72:$I$88,6,FALSE))/1000,IF(I35&lt;=1200,(VLOOKUP(G35,Listas!$A$97:$I$113,6,FALSE))/1000,"EL TRANSFORMADOR NO PUEDE SER SECO")),IF(X35="MOTOR",((G35*0.746)*(1-N35/1)),IF(OR(X35="VFD",X35="UPS",X35="PLC",X35="ILUMINACIÓN",X35="TOMAS",X35="FILTRO",X35="RESISTENCIA DE C.",X35="CAJA DE VENTEO"),IF(H35="kW",G35*(1-(N35/1)),IF(H35="kVA",G35*K35*(1-(N35/1)),"N/A")))))))),2)</f>
        <v>2.06</v>
      </c>
      <c r="Q35" s="848"/>
      <c r="R35" s="1101" t="str">
        <f>+VLOOKUP(D35,'H2-CONDUCTORES DE BT'!$D$2:$BL$155,21,FALSE)</f>
        <v>P-06-08-PCP-DT-97</v>
      </c>
      <c r="S35" s="1102">
        <f>+VLOOKUP(D35,'H2-CONDUCTORES DE BT'!$D$2:$BL$155,4,FALSE)</f>
        <v>35</v>
      </c>
      <c r="T35" s="1087" t="str">
        <f>+VLOOKUP(D35,'H2-CONDUCTORES DE BT'!$D$2:$BL$155,20,FALSE)</f>
        <v>1x[3x(1x1/0 AWG)] + 1x(1Gx4 AWG)</v>
      </c>
      <c r="U35" s="1090" t="str">
        <f>+VLOOKUP(D35,'H2-CONDUCTORES DE BT'!$D$2:$BL$155,40,FALSE)</f>
        <v>Al</v>
      </c>
      <c r="V35" s="1107"/>
      <c r="W35" s="1103">
        <f>ROUND((((VLOOKUP(D35,'H2-CONDUCTORES DE BT'!$D$2:$BL$155,12,FALSE)*M35)/((MID(T35,1,1))))^2)*((IF(U35="Al",VLOOKUP(Z35,CONDUCTORES!$B$9:$K$23,9,FALSE),VLOOKUP(Z35,CONDUCTORES!$B$9:$K$23,7,FALSE)))*(S35/1000))*((MID(T35,1,1))*(MID(T35,4,1))),2)</f>
        <v>231.2</v>
      </c>
      <c r="X35" s="584" t="s">
        <v>750</v>
      </c>
      <c r="Y35" s="343">
        <f>+VLOOKUP(D35,'H2-CONDUCTORES DE BT'!$D$2:$BL$155,37,FALSE)</f>
        <v>1</v>
      </c>
      <c r="Z35" s="343" t="str">
        <f>+VLOOKUP(D35,'H2-CONDUCTORES DE BT'!$D$2:$BL$155,36,FALSE)</f>
        <v>1/0 AWG</v>
      </c>
      <c r="AA35" s="343">
        <f>IF(VLOOKUP(D35,'H2-CONDUCTORES DE BT'!$D$2:$BI$155,50,FALSE)&lt;&gt;1,VLOOKUP(D35,'H2-CONDUCTORES DE BT'!$D$2:$BI$155,50,FALSE),IF(VLOOKUP(D35,'H2-CONDUCTORES DE BT'!$D$2:$BI$155,23,FALSE)="BANDEJA",1,IF(VLOOKUP(D35,'H2-CONDUCTORES DE BT'!$D$2:$BI$155,24,FALSE)&lt;&gt;3,IF(((VLOOKUP(D35,'H2-CONDUCTORES DE BT'!$D$2:$BI$155,24,FALSE))/3)=Y35,1),VLOOKUP(D35,'H2-CONDUCTORES DE BT'!$D$2:$BI$155,37,FALSE))))</f>
        <v>1</v>
      </c>
      <c r="AB35" s="343" t="str">
        <f>+(IF((VLOOKUP(D35,'H2-CONDUCTORES DE BT'!$D$2:$BL$155,40,FALSE))="Al",IF((VLOOKUP(D35,'H2-CONDUCTORES DE BT'!$D$2:$BL$155,51,FALSE))="No",LOOKUP((VLOOKUP(D35,'H2-CONDUCTORES DE BT'!$D$2:$BL$155,16,FALSE)),CONDUCTORES!$A$111:$A$131,CONDUCTORES!$C$111:$C$131),(VLOOKUP(D35,'H2-CONDUCTORES DE BT'!$D$2:$BL$155,51,FALSE))),IF((VLOOKUP(D35,'H2-CONDUCTORES DE BT'!$D$2:$BL$155,51,FALSE))="No",LOOKUP((VLOOKUP(D35,'H2-CONDUCTORES DE BT'!$D$2:$BL$155,16,FALSE)),CONDUCTORES!$A$111:$A$131,CONDUCTORES!$B$111:$B$131),(VLOOKUP(D35,'H2-CONDUCTORES DE BT'!$D$2:$BL$155,51,FALSE)))))</f>
        <v>4 AWG</v>
      </c>
      <c r="AC35" s="360">
        <f t="shared" si="3"/>
        <v>2</v>
      </c>
      <c r="AD35" s="366"/>
      <c r="AE35" s="361"/>
    </row>
    <row r="36" spans="2:32" ht="16.2" thickBot="1" x14ac:dyDescent="0.3">
      <c r="C36" s="846"/>
      <c r="D36" s="836"/>
      <c r="E36" s="836"/>
      <c r="F36" s="836"/>
      <c r="G36" s="836"/>
      <c r="H36" s="836"/>
      <c r="I36" s="836"/>
      <c r="J36" s="836"/>
      <c r="K36" s="836"/>
      <c r="L36" s="837"/>
      <c r="M36" s="836"/>
      <c r="N36" s="836"/>
      <c r="O36" s="838"/>
      <c r="P36" s="839"/>
      <c r="Q36" s="838"/>
      <c r="R36" s="836"/>
      <c r="S36" s="836"/>
      <c r="T36" s="836"/>
      <c r="U36" s="836"/>
      <c r="V36" s="840"/>
      <c r="W36" s="841"/>
      <c r="X36" s="486"/>
      <c r="Y36" s="369"/>
      <c r="Z36" s="369"/>
      <c r="AA36" s="369"/>
      <c r="AB36" s="369"/>
      <c r="AC36" s="360"/>
      <c r="AD36" s="366"/>
      <c r="AE36" s="367"/>
    </row>
    <row r="37" spans="2:32" ht="20.100000000000001" customHeight="1" x14ac:dyDescent="0.25">
      <c r="C37" s="1781" t="s">
        <v>1094</v>
      </c>
      <c r="D37" s="1781"/>
      <c r="E37" s="1781"/>
      <c r="F37" s="1781"/>
      <c r="G37" s="1781"/>
      <c r="H37" s="1781"/>
      <c r="I37" s="1781"/>
      <c r="J37" s="1781"/>
      <c r="K37" s="1781"/>
      <c r="L37" s="1781"/>
      <c r="M37" s="1781"/>
      <c r="N37" s="1781"/>
      <c r="O37" s="1743"/>
      <c r="P37" s="1109">
        <f>SUM($P$22:$P$35)</f>
        <v>13.44</v>
      </c>
      <c r="Q37" s="838"/>
      <c r="R37" s="1782" t="s">
        <v>1094</v>
      </c>
      <c r="S37" s="1783"/>
      <c r="T37" s="1783"/>
      <c r="U37" s="1784"/>
      <c r="V37" s="840"/>
      <c r="W37" s="1108">
        <f>SUM($W$22:$W$35)</f>
        <v>4176.75</v>
      </c>
      <c r="X37" s="486"/>
      <c r="Y37" s="369"/>
      <c r="Z37" s="369"/>
      <c r="AA37" s="369"/>
      <c r="AB37" s="369"/>
      <c r="AC37" s="360"/>
      <c r="AD37" s="366"/>
      <c r="AE37" s="361"/>
    </row>
    <row r="38" spans="2:32" ht="20.100000000000001" customHeight="1" thickBot="1" x14ac:dyDescent="0.3">
      <c r="C38" s="1746" t="str">
        <f>""&amp;C17&amp;" EN 1 DÍA"</f>
        <v>PÉRDIDAS DE ENERGÍA EQUIPOS EN 1 DÍA</v>
      </c>
      <c r="D38" s="1746"/>
      <c r="E38" s="1746"/>
      <c r="F38" s="1746"/>
      <c r="G38" s="1746"/>
      <c r="H38" s="1746"/>
      <c r="I38" s="1746"/>
      <c r="J38" s="1746"/>
      <c r="K38" s="1746"/>
      <c r="L38" s="1746"/>
      <c r="M38" s="1746"/>
      <c r="N38" s="1746"/>
      <c r="O38" s="1744"/>
      <c r="P38" s="1188">
        <f>(P37*24)</f>
        <v>322.56</v>
      </c>
      <c r="Q38" s="838"/>
      <c r="R38" s="1747" t="str">
        <f>""&amp;R17&amp;" EN 1 DÍA"</f>
        <v>PÉRDIDAS DE ENERGÍA CONDUCTORES EN 1 DÍA</v>
      </c>
      <c r="S38" s="1748"/>
      <c r="T38" s="1748"/>
      <c r="U38" s="1749"/>
      <c r="V38" s="840"/>
      <c r="W38" s="1188">
        <f>((W37/1000)*24)</f>
        <v>100.242</v>
      </c>
      <c r="X38" s="486"/>
      <c r="Y38" s="369"/>
      <c r="Z38" s="369"/>
      <c r="AA38" s="369"/>
      <c r="AB38" s="369"/>
      <c r="AC38" s="360"/>
      <c r="AD38" s="366"/>
      <c r="AE38" s="367"/>
    </row>
    <row r="39" spans="2:32" ht="9" customHeight="1" thickBot="1" x14ac:dyDescent="0.3">
      <c r="C39" s="846"/>
      <c r="D39" s="836"/>
      <c r="E39" s="836"/>
      <c r="F39" s="836"/>
      <c r="G39" s="836"/>
      <c r="H39" s="836"/>
      <c r="I39" s="836"/>
      <c r="J39" s="836"/>
      <c r="K39" s="836"/>
      <c r="L39" s="837"/>
      <c r="M39" s="836"/>
      <c r="N39" s="836"/>
      <c r="O39" s="838"/>
      <c r="P39" s="839"/>
      <c r="Q39" s="838"/>
      <c r="R39" s="836"/>
      <c r="S39" s="836"/>
      <c r="T39" s="836"/>
      <c r="U39" s="836"/>
      <c r="V39" s="850"/>
      <c r="W39" s="841"/>
      <c r="X39" s="486"/>
      <c r="Y39" s="369"/>
      <c r="Z39" s="369"/>
      <c r="AA39" s="369"/>
      <c r="AB39" s="369"/>
      <c r="AC39" s="360"/>
      <c r="AD39" s="366"/>
      <c r="AE39" s="361"/>
    </row>
    <row r="40" spans="2:32" ht="24.9" customHeight="1" x14ac:dyDescent="0.25">
      <c r="C40" s="1761" t="s">
        <v>1095</v>
      </c>
      <c r="D40" s="1761"/>
      <c r="E40" s="1761"/>
      <c r="F40" s="1761"/>
      <c r="G40" s="1761"/>
      <c r="H40" s="1761"/>
      <c r="I40" s="1761"/>
      <c r="J40" s="1761"/>
      <c r="K40" s="1761"/>
      <c r="L40" s="1761"/>
      <c r="M40" s="1761"/>
      <c r="N40" s="1761"/>
      <c r="O40" s="1761"/>
      <c r="P40" s="1761"/>
      <c r="Q40" s="1761"/>
      <c r="R40" s="1760">
        <f>+'H1-CUADRO DE CARGAS'!T45</f>
        <v>225</v>
      </c>
      <c r="S40" s="1760"/>
      <c r="T40" s="1751" t="s">
        <v>1096</v>
      </c>
      <c r="U40" s="1751"/>
      <c r="V40" s="835"/>
      <c r="W40" s="1754">
        <f>(R40*0.9)*24</f>
        <v>4860</v>
      </c>
      <c r="X40" s="486"/>
      <c r="Y40" s="369"/>
      <c r="Z40" s="369"/>
      <c r="AA40" s="369"/>
      <c r="AB40" s="369"/>
      <c r="AF40" s="585"/>
    </row>
    <row r="41" spans="2:32" ht="24.9" customHeight="1" x14ac:dyDescent="0.25">
      <c r="C41" s="1745" t="s">
        <v>1097</v>
      </c>
      <c r="D41" s="1745"/>
      <c r="E41" s="1745"/>
      <c r="F41" s="1745"/>
      <c r="G41" s="1745"/>
      <c r="H41" s="1745"/>
      <c r="I41" s="1745"/>
      <c r="J41" s="1745"/>
      <c r="K41" s="1745"/>
      <c r="L41" s="1745"/>
      <c r="M41" s="1745"/>
      <c r="N41" s="1745"/>
      <c r="O41" s="1745"/>
      <c r="P41" s="1745"/>
      <c r="Q41" s="1745"/>
      <c r="R41" s="1758">
        <f>+P38+W38</f>
        <v>422.80200000000002</v>
      </c>
      <c r="S41" s="1758"/>
      <c r="T41" s="1752"/>
      <c r="U41" s="1752"/>
      <c r="V41" s="835"/>
      <c r="W41" s="1755"/>
      <c r="X41" s="486"/>
      <c r="Y41" s="369"/>
      <c r="Z41" s="369"/>
      <c r="AA41" s="369"/>
      <c r="AB41" s="369"/>
      <c r="AF41" s="585"/>
    </row>
    <row r="42" spans="2:32" ht="24.9" customHeight="1" thickBot="1" x14ac:dyDescent="0.3">
      <c r="C42" s="1759" t="s">
        <v>1098</v>
      </c>
      <c r="D42" s="1759"/>
      <c r="E42" s="1759"/>
      <c r="F42" s="1759"/>
      <c r="G42" s="1759"/>
      <c r="H42" s="1759"/>
      <c r="I42" s="1759"/>
      <c r="J42" s="1759"/>
      <c r="K42" s="1759"/>
      <c r="L42" s="1759"/>
      <c r="M42" s="1759"/>
      <c r="N42" s="1759"/>
      <c r="O42" s="1759"/>
      <c r="P42" s="1759"/>
      <c r="Q42" s="1759"/>
      <c r="R42" s="1757">
        <f>+R41/W40</f>
        <v>8.6996296296296294E-2</v>
      </c>
      <c r="S42" s="1757"/>
      <c r="T42" s="1753"/>
      <c r="U42" s="1753"/>
      <c r="V42" s="835"/>
      <c r="W42" s="1756"/>
      <c r="X42" s="486"/>
      <c r="Y42" s="369"/>
      <c r="Z42" s="369"/>
      <c r="AA42" s="369"/>
      <c r="AB42" s="369"/>
      <c r="AF42" s="585"/>
    </row>
    <row r="43" spans="2:32" ht="14.25" customHeight="1" x14ac:dyDescent="0.25">
      <c r="C43" s="374"/>
      <c r="D43" s="374"/>
      <c r="E43" s="374"/>
      <c r="F43" s="374"/>
      <c r="G43" s="374"/>
      <c r="H43" s="374"/>
      <c r="I43" s="374"/>
      <c r="J43" s="374"/>
      <c r="K43" s="374"/>
      <c r="L43" s="363"/>
      <c r="M43" s="374"/>
      <c r="N43" s="374"/>
      <c r="O43" s="374"/>
      <c r="P43" s="374"/>
      <c r="Q43" s="374"/>
      <c r="R43" s="374"/>
      <c r="S43" s="374"/>
      <c r="T43" s="357"/>
      <c r="U43" s="357"/>
      <c r="V43" s="586"/>
      <c r="W43" s="375"/>
      <c r="X43" s="408"/>
      <c r="Y43" s="369"/>
      <c r="Z43" s="369"/>
      <c r="AA43" s="369"/>
      <c r="AB43" s="369"/>
      <c r="AF43" s="585"/>
    </row>
    <row r="46" spans="2:32" ht="23.25" customHeight="1" x14ac:dyDescent="0.25">
      <c r="L46" s="540"/>
      <c r="Y46" s="369"/>
      <c r="Z46" s="369"/>
      <c r="AA46" s="369"/>
      <c r="AB46" s="369"/>
    </row>
    <row r="47" spans="2:32" ht="23.25" customHeight="1" x14ac:dyDescent="0.25">
      <c r="L47" s="540"/>
      <c r="Y47" s="369"/>
      <c r="Z47" s="369"/>
      <c r="AA47" s="369"/>
      <c r="AB47" s="369"/>
    </row>
    <row r="48" spans="2:32" ht="23.25" customHeight="1" x14ac:dyDescent="0.25">
      <c r="L48" s="540"/>
      <c r="Y48" s="369"/>
      <c r="Z48" s="369"/>
      <c r="AA48" s="369"/>
      <c r="AB48" s="369"/>
    </row>
    <row r="49" spans="12:28" ht="23.25" customHeight="1" x14ac:dyDescent="0.25">
      <c r="L49" s="540"/>
      <c r="Y49" s="369"/>
      <c r="Z49" s="369"/>
      <c r="AA49" s="369"/>
      <c r="AB49" s="369"/>
    </row>
    <row r="50" spans="12:28" ht="23.25" customHeight="1" x14ac:dyDescent="0.25">
      <c r="L50" s="540"/>
      <c r="Y50" s="369"/>
      <c r="Z50" s="369"/>
      <c r="AA50" s="369"/>
      <c r="AB50" s="369"/>
    </row>
    <row r="51" spans="12:28" ht="23.25" customHeight="1" x14ac:dyDescent="0.25">
      <c r="L51" s="540"/>
      <c r="Y51" s="369"/>
      <c r="Z51" s="369"/>
      <c r="AA51" s="369"/>
      <c r="AB51" s="369"/>
    </row>
    <row r="52" spans="12:28" ht="23.25" customHeight="1" x14ac:dyDescent="0.25">
      <c r="L52" s="540"/>
      <c r="Y52" s="369"/>
      <c r="Z52" s="369"/>
      <c r="AA52" s="369"/>
      <c r="AB52" s="369"/>
    </row>
    <row r="53" spans="12:28" ht="23.25" customHeight="1" x14ac:dyDescent="0.25">
      <c r="L53" s="540"/>
      <c r="U53" s="1742"/>
      <c r="V53" s="1742"/>
      <c r="W53" s="1742"/>
      <c r="Y53" s="369"/>
      <c r="Z53" s="369"/>
      <c r="AA53" s="369"/>
      <c r="AB53" s="369"/>
    </row>
    <row r="54" spans="12:28" ht="23.25" customHeight="1" x14ac:dyDescent="0.25">
      <c r="L54" s="540"/>
      <c r="Y54" s="369"/>
      <c r="Z54" s="369"/>
      <c r="AA54" s="369"/>
      <c r="AB54" s="369"/>
    </row>
    <row r="55" spans="12:28" ht="23.25" customHeight="1" x14ac:dyDescent="0.25">
      <c r="L55" s="540"/>
      <c r="Y55" s="369"/>
      <c r="Z55" s="369"/>
      <c r="AA55" s="369"/>
      <c r="AB55" s="369"/>
    </row>
    <row r="56" spans="12:28" ht="23.25" customHeight="1" x14ac:dyDescent="0.25">
      <c r="L56" s="540"/>
      <c r="Y56" s="369"/>
      <c r="Z56" s="369"/>
      <c r="AA56" s="369"/>
      <c r="AB56" s="369"/>
    </row>
    <row r="57" spans="12:28" ht="23.25" customHeight="1" x14ac:dyDescent="0.25">
      <c r="L57" s="540"/>
      <c r="Y57" s="369"/>
      <c r="Z57" s="369"/>
      <c r="AA57" s="369"/>
      <c r="AB57" s="369"/>
    </row>
    <row r="58" spans="12:28" ht="23.25" customHeight="1" x14ac:dyDescent="0.25">
      <c r="L58" s="540"/>
      <c r="Y58" s="369"/>
      <c r="Z58" s="369"/>
      <c r="AA58" s="369"/>
      <c r="AB58" s="369"/>
    </row>
    <row r="59" spans="12:28" ht="23.25" customHeight="1" x14ac:dyDescent="0.25">
      <c r="L59" s="540"/>
      <c r="Y59" s="369"/>
      <c r="Z59" s="369"/>
      <c r="AA59" s="369"/>
      <c r="AB59" s="369"/>
    </row>
    <row r="60" spans="12:28" ht="23.25" customHeight="1" x14ac:dyDescent="0.25">
      <c r="L60" s="540"/>
      <c r="Y60" s="369"/>
      <c r="Z60" s="369"/>
      <c r="AA60" s="369"/>
      <c r="AB60" s="369"/>
    </row>
    <row r="61" spans="12:28" ht="23.25" customHeight="1" x14ac:dyDescent="0.25">
      <c r="L61" s="540"/>
      <c r="Y61" s="369"/>
      <c r="Z61" s="369"/>
      <c r="AA61" s="369"/>
      <c r="AB61" s="369"/>
    </row>
    <row r="62" spans="12:28" ht="23.25" customHeight="1" x14ac:dyDescent="0.25">
      <c r="L62" s="540"/>
      <c r="Y62" s="369"/>
      <c r="Z62" s="369"/>
      <c r="AA62" s="369"/>
      <c r="AB62" s="369"/>
    </row>
    <row r="63" spans="12:28" ht="23.25" customHeight="1" x14ac:dyDescent="0.25">
      <c r="L63" s="540"/>
      <c r="Y63" s="369"/>
      <c r="Z63" s="369"/>
      <c r="AA63" s="369"/>
      <c r="AB63" s="369"/>
    </row>
    <row r="64" spans="12:28" ht="23.25" customHeight="1" x14ac:dyDescent="0.25">
      <c r="Y64" s="365"/>
      <c r="Z64" s="365"/>
      <c r="AA64" s="365"/>
      <c r="AB64" s="365"/>
    </row>
    <row r="65" spans="25:28" ht="23.25" customHeight="1" x14ac:dyDescent="0.25">
      <c r="Y65" s="365"/>
      <c r="Z65" s="365"/>
      <c r="AA65" s="365"/>
      <c r="AB65" s="365"/>
    </row>
    <row r="66" spans="25:28" ht="23.25" customHeight="1" x14ac:dyDescent="0.25">
      <c r="Y66" s="365"/>
      <c r="Z66" s="365"/>
      <c r="AA66" s="365"/>
      <c r="AB66" s="365"/>
    </row>
    <row r="67" spans="25:28" ht="23.25" customHeight="1" x14ac:dyDescent="0.25">
      <c r="Y67" s="365"/>
      <c r="Z67" s="365"/>
      <c r="AA67" s="365"/>
      <c r="AB67" s="365"/>
    </row>
    <row r="68" spans="25:28" ht="23.25" customHeight="1" x14ac:dyDescent="0.25">
      <c r="Y68" s="365"/>
      <c r="Z68" s="365"/>
      <c r="AA68" s="365"/>
      <c r="AB68" s="365"/>
    </row>
    <row r="69" spans="25:28" ht="23.25" customHeight="1" x14ac:dyDescent="0.25">
      <c r="Y69" s="365"/>
      <c r="Z69" s="365"/>
      <c r="AA69" s="365"/>
      <c r="AB69" s="365"/>
    </row>
    <row r="70" spans="25:28" ht="23.25" customHeight="1" x14ac:dyDescent="0.25">
      <c r="Y70" s="365"/>
      <c r="Z70" s="365"/>
      <c r="AA70" s="365"/>
      <c r="AB70" s="365"/>
    </row>
    <row r="71" spans="25:28" ht="23.25" customHeight="1" x14ac:dyDescent="0.25">
      <c r="Y71" s="365"/>
      <c r="Z71" s="365"/>
      <c r="AA71" s="365"/>
      <c r="AB71" s="365"/>
    </row>
    <row r="72" spans="25:28" ht="23.25" customHeight="1" x14ac:dyDescent="0.25">
      <c r="Y72" s="365"/>
      <c r="Z72" s="365"/>
      <c r="AA72" s="365"/>
      <c r="AB72" s="365"/>
    </row>
    <row r="73" spans="25:28" ht="23.25" customHeight="1" x14ac:dyDescent="0.25">
      <c r="Y73" s="365"/>
      <c r="Z73" s="365"/>
      <c r="AA73" s="365"/>
      <c r="AB73" s="365"/>
    </row>
    <row r="74" spans="25:28" ht="23.25" customHeight="1" x14ac:dyDescent="0.25">
      <c r="Y74" s="365"/>
      <c r="Z74" s="365"/>
      <c r="AA74" s="365"/>
      <c r="AB74" s="365"/>
    </row>
  </sheetData>
  <sheetProtection formatCells="0" formatColumns="0" formatRows="0" insertRows="0" insertHyperlinks="0" deleteRows="0" sort="0" autoFilter="0" pivotTables="0"/>
  <protectedRanges>
    <protectedRange sqref="AD6" name="Rango1_3"/>
    <protectedRange sqref="Y1:AB3 Z15:AB15 Y46:AB1048576 Y16:AB20 Y6:AB14 Y22:AB43" name="Rango1_2"/>
    <protectedRange sqref="AC6 AC8 AC7:AE7" name="Rango1"/>
    <protectedRange sqref="S36" name="Rango2_1_2"/>
    <protectedRange sqref="E36" name="Rango2_2_2"/>
    <protectedRange sqref="I36" name="Rango2_10"/>
    <protectedRange sqref="G36" name="Rango2_1_1"/>
    <protectedRange sqref="Y21:AB21" name="Rango1_2_3"/>
  </protectedRanges>
  <dataConsolidate/>
  <mergeCells count="59">
    <mergeCell ref="G4:AH4"/>
    <mergeCell ref="V5:Z5"/>
    <mergeCell ref="AA5:AE5"/>
    <mergeCell ref="AF5:AG5"/>
    <mergeCell ref="L5:P5"/>
    <mergeCell ref="Q5:U5"/>
    <mergeCell ref="C37:N37"/>
    <mergeCell ref="R37:U37"/>
    <mergeCell ref="D26:W26"/>
    <mergeCell ref="D21:W21"/>
    <mergeCell ref="D15:W15"/>
    <mergeCell ref="R17:W17"/>
    <mergeCell ref="S9:S13"/>
    <mergeCell ref="D24:W24"/>
    <mergeCell ref="C17:P17"/>
    <mergeCell ref="D19:W19"/>
    <mergeCell ref="AD8:AD12"/>
    <mergeCell ref="O9:O13"/>
    <mergeCell ref="U9:U14"/>
    <mergeCell ref="W9:W13"/>
    <mergeCell ref="T9:T14"/>
    <mergeCell ref="Y9:Y14"/>
    <mergeCell ref="AA9:AA14"/>
    <mergeCell ref="X9:X14"/>
    <mergeCell ref="N9:N14"/>
    <mergeCell ref="P9:P13"/>
    <mergeCell ref="R9:R14"/>
    <mergeCell ref="AE8:AE12"/>
    <mergeCell ref="AC9:AC12"/>
    <mergeCell ref="Z9:Z14"/>
    <mergeCell ref="AB9:AB14"/>
    <mergeCell ref="B9:B14"/>
    <mergeCell ref="C9:C14"/>
    <mergeCell ref="I11:I13"/>
    <mergeCell ref="J11:J14"/>
    <mergeCell ref="M9:M14"/>
    <mergeCell ref="D9:D14"/>
    <mergeCell ref="E9:E14"/>
    <mergeCell ref="F9:F14"/>
    <mergeCell ref="G9:H14"/>
    <mergeCell ref="I9:J10"/>
    <mergeCell ref="K9:K14"/>
    <mergeCell ref="L9:L13"/>
    <mergeCell ref="F2:W2"/>
    <mergeCell ref="F3:W3"/>
    <mergeCell ref="U53:W53"/>
    <mergeCell ref="O37:O38"/>
    <mergeCell ref="C41:Q41"/>
    <mergeCell ref="C38:N38"/>
    <mergeCell ref="R38:U38"/>
    <mergeCell ref="G8:H8"/>
    <mergeCell ref="T40:U42"/>
    <mergeCell ref="W40:W42"/>
    <mergeCell ref="R42:S42"/>
    <mergeCell ref="R41:S41"/>
    <mergeCell ref="C42:Q42"/>
    <mergeCell ref="R40:S40"/>
    <mergeCell ref="G5:K5"/>
    <mergeCell ref="C40:Q40"/>
  </mergeCells>
  <phoneticPr fontId="20" type="noConversion"/>
  <dataValidations count="3">
    <dataValidation type="list" allowBlank="1" showInputMessage="1" showErrorMessage="1" sqref="I36" xr:uid="{EF2FDA36-0E0F-4DF6-99CE-E0645FA215B0}">
      <formula1>VOLTAJE_BT</formula1>
    </dataValidation>
    <dataValidation type="list" allowBlank="1" showInputMessage="1" showErrorMessage="1" sqref="X22 X27:X35" xr:uid="{71EAD623-A152-47D2-9A5C-5D485A34A89C}">
      <formula1>TIPO_CARGAS</formula1>
    </dataValidation>
    <dataValidation type="list" allowBlank="1" showInputMessage="1" showErrorMessage="1" sqref="H36 U36 J36" xr:uid="{1E7F3394-F11F-4123-A69D-BBE7FFD0159B}"/>
  </dataValidations>
  <printOptions horizontalCentered="1"/>
  <pageMargins left="0" right="7.874015748031496E-2" top="0" bottom="0" header="0" footer="0"/>
  <pageSetup scale="47" fitToHeight="0" orientation="landscape" r:id="rId1"/>
  <headerFooter scaleWithDoc="0">
    <oddHeader xml:space="preserve">&amp;R&amp;K00+000                                                                                      </oddHeader>
    <oddFooter xml:space="preserve">&amp;L&amp;"Century Gothic,Normal"&amp;8         Código cliente: DNC-02208-ELE-MC-000001
         Código interno: -&amp;C&amp;"Century Gothic,Normal"&amp;8
&amp;R&amp;"Century Gothic,Normal"&amp;8Página &amp;P de &amp;N    &amp;K00+000       .   &amp;K000000
&amp;"Arial,Normal"
</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8">
    <pageSetUpPr fitToPage="1"/>
  </sheetPr>
  <dimension ref="A1:CK1047613"/>
  <sheetViews>
    <sheetView showGridLines="0" view="pageBreakPreview" zoomScale="90" zoomScaleNormal="115" zoomScaleSheetLayoutView="90" workbookViewId="0">
      <selection activeCell="I4" sqref="I4"/>
    </sheetView>
  </sheetViews>
  <sheetFormatPr baseColWidth="10" defaultColWidth="2.5546875" defaultRowHeight="18" customHeight="1" x14ac:dyDescent="0.25"/>
  <cols>
    <col min="1" max="1" width="3.5546875" style="569" customWidth="1"/>
    <col min="2" max="2" width="8.44140625" style="305" customWidth="1"/>
    <col min="3" max="3" width="5.5546875" style="305" customWidth="1"/>
    <col min="4" max="4" width="7.109375" style="305" customWidth="1"/>
    <col min="5" max="5" width="7.88671875" style="305" customWidth="1"/>
    <col min="6" max="7" width="5.109375" style="305" customWidth="1"/>
    <col min="8" max="8" width="2.88671875" style="305" customWidth="1"/>
    <col min="9" max="9" width="8" style="305" customWidth="1"/>
    <col min="10" max="11" width="4" style="305" customWidth="1"/>
    <col min="12" max="14" width="3.5546875" style="305" customWidth="1"/>
    <col min="15" max="15" width="25.44140625" style="305" customWidth="1"/>
    <col min="16" max="17" width="3.5546875" style="305" customWidth="1"/>
    <col min="18" max="18" width="2.88671875" style="305" customWidth="1"/>
    <col min="19" max="19" width="3.5546875" style="305" customWidth="1"/>
    <col min="20" max="20" width="1.109375" style="305" customWidth="1"/>
    <col min="21" max="21" width="32.44140625" style="305" customWidth="1"/>
    <col min="22" max="22" width="7" style="348" customWidth="1"/>
    <col min="23" max="23" width="10.5546875" style="305" customWidth="1"/>
    <col min="24" max="25" width="8.44140625" style="305" hidden="1" customWidth="1"/>
    <col min="26" max="26" width="6.44140625" style="305" customWidth="1"/>
    <col min="27" max="27" width="5.88671875" style="305" customWidth="1"/>
    <col min="28" max="28" width="9.5546875" style="589" customWidth="1"/>
    <col min="29" max="29" width="5.5546875" style="305" customWidth="1"/>
    <col min="30" max="30" width="27.5546875" style="305" customWidth="1"/>
    <col min="31" max="31" width="7.5546875" style="347" customWidth="1"/>
    <col min="32" max="32" width="11.88671875" style="347" customWidth="1"/>
    <col min="33" max="33" width="10.5546875" style="347" customWidth="1"/>
    <col min="34" max="34" width="11.109375" style="347" customWidth="1"/>
    <col min="35" max="35" width="7.5546875" style="347" customWidth="1"/>
    <col min="36" max="36" width="8.88671875" style="347" customWidth="1"/>
    <col min="37" max="37" width="10.109375" style="347" customWidth="1"/>
    <col min="38" max="38" width="8.109375" style="347" customWidth="1"/>
    <col min="39" max="39" width="11.109375" style="347" hidden="1" customWidth="1"/>
    <col min="40" max="40" width="13.5546875" style="347" customWidth="1"/>
    <col min="41" max="44" width="8.44140625" style="347" customWidth="1"/>
    <col min="45" max="45" width="10.109375" style="347" customWidth="1"/>
    <col min="46" max="46" width="8.44140625" style="347" customWidth="1"/>
    <col min="47" max="47" width="16" style="305" customWidth="1"/>
    <col min="48" max="48" width="10.44140625" style="305" customWidth="1"/>
    <col min="49" max="49" width="11.5546875" style="305" customWidth="1"/>
    <col min="50" max="50" width="9.44140625" style="338" customWidth="1"/>
    <col min="51" max="51" width="9.44140625" style="347" customWidth="1"/>
    <col min="52" max="53" width="9.109375" style="347" customWidth="1"/>
    <col min="54" max="54" width="11.33203125" style="347" customWidth="1"/>
    <col min="55" max="55" width="10" style="347" customWidth="1"/>
    <col min="56" max="56" width="9.109375" style="347" customWidth="1"/>
    <col min="57" max="57" width="14.5546875" style="347" customWidth="1"/>
    <col min="58" max="58" width="12.109375" style="347" customWidth="1"/>
    <col min="59" max="59" width="17.5546875" style="348" customWidth="1"/>
    <col min="60" max="60" width="9.44140625" style="347" customWidth="1"/>
    <col min="61" max="61" width="9.109375" style="347" customWidth="1"/>
    <col min="62" max="62" width="9.109375" style="381" customWidth="1"/>
    <col min="63" max="73" width="9.109375" style="1320" customWidth="1"/>
    <col min="74" max="74" width="17.88671875" style="1320" customWidth="1"/>
    <col min="75" max="75" width="18.88671875" style="1320" customWidth="1"/>
    <col min="76" max="76" width="13.88671875" style="1320" customWidth="1"/>
    <col min="77" max="77" width="9.109375" style="1320" customWidth="1"/>
    <col min="78" max="78" width="17.88671875" style="1320" customWidth="1"/>
    <col min="79" max="79" width="18.88671875" style="1320" customWidth="1"/>
    <col min="80" max="81" width="13.88671875" style="1320" customWidth="1"/>
    <col min="82" max="83" width="18.109375" style="1320" customWidth="1"/>
    <col min="84" max="84" width="17.88671875" style="1320" customWidth="1"/>
    <col min="85" max="85" width="18.88671875" style="1320" customWidth="1"/>
    <col min="86" max="87" width="13.88671875" style="1320" customWidth="1"/>
    <col min="88" max="89" width="18.109375" style="1320" customWidth="1"/>
    <col min="90" max="104" width="9.109375" style="305" customWidth="1"/>
    <col min="105" max="113" width="2.5546875" style="305" customWidth="1"/>
    <col min="114" max="114" width="3.44140625" style="305" customWidth="1"/>
    <col min="115" max="115" width="5.109375" style="305" customWidth="1"/>
    <col min="116" max="16384" width="2.5546875" style="305"/>
  </cols>
  <sheetData>
    <row r="1" spans="1:89" s="233" customFormat="1" ht="18" customHeight="1" x14ac:dyDescent="0.25">
      <c r="A1" s="262"/>
      <c r="B1" s="773"/>
      <c r="C1" s="773"/>
      <c r="D1" s="773"/>
      <c r="E1" s="773"/>
      <c r="F1" s="773"/>
      <c r="G1" s="773"/>
      <c r="H1" s="773"/>
      <c r="I1" s="773"/>
      <c r="J1" s="773"/>
      <c r="K1" s="773"/>
      <c r="L1" s="774"/>
      <c r="M1" s="774"/>
      <c r="N1" s="774"/>
      <c r="O1" s="774"/>
      <c r="P1" s="774"/>
      <c r="Q1" s="774"/>
      <c r="R1" s="774"/>
      <c r="S1" s="774"/>
      <c r="T1" s="774"/>
      <c r="U1" s="774"/>
      <c r="V1" s="774"/>
      <c r="W1" s="774"/>
      <c r="X1" s="774"/>
      <c r="Y1" s="774"/>
      <c r="Z1" s="774"/>
      <c r="AA1" s="774"/>
      <c r="AB1" s="774"/>
      <c r="AC1" s="774"/>
      <c r="AD1" s="774"/>
      <c r="AE1" s="774"/>
      <c r="AF1" s="774"/>
      <c r="AG1" s="774"/>
      <c r="AH1" s="774"/>
      <c r="AI1" s="774"/>
      <c r="AJ1" s="774"/>
      <c r="AK1" s="774"/>
      <c r="AL1" s="774"/>
      <c r="AM1" s="774"/>
      <c r="AN1" s="774"/>
      <c r="AO1" s="534"/>
      <c r="AP1" s="534"/>
      <c r="AQ1" s="534"/>
      <c r="AR1" s="534"/>
      <c r="AS1" s="534"/>
      <c r="AT1" s="534"/>
      <c r="AU1" s="534"/>
      <c r="AV1" s="534"/>
      <c r="AW1" s="533"/>
      <c r="AX1" s="248"/>
      <c r="AY1" s="249"/>
      <c r="AZ1" s="249"/>
      <c r="BA1" s="249"/>
      <c r="BB1" s="249"/>
      <c r="BC1" s="249"/>
      <c r="BD1" s="249"/>
      <c r="BE1" s="249"/>
      <c r="BF1" s="249"/>
      <c r="BG1" s="535"/>
      <c r="BH1" s="249"/>
      <c r="BI1" s="249"/>
      <c r="BJ1" s="1324"/>
      <c r="BK1" s="1325"/>
      <c r="BL1" s="1325"/>
      <c r="BM1" s="1325"/>
      <c r="BN1" s="1325"/>
      <c r="BO1" s="1325"/>
      <c r="BP1" s="1325"/>
      <c r="BQ1" s="1325"/>
      <c r="BR1" s="1325"/>
      <c r="BS1" s="1325"/>
      <c r="BT1" s="1325"/>
      <c r="BU1" s="1325"/>
      <c r="BV1" s="1325"/>
      <c r="BW1" s="1325"/>
      <c r="BX1" s="1325"/>
      <c r="BY1" s="1325"/>
      <c r="BZ1" s="1325"/>
      <c r="CA1" s="1325"/>
      <c r="CB1" s="1325"/>
      <c r="CC1" s="1325"/>
      <c r="CD1" s="1325"/>
      <c r="CE1" s="1325"/>
      <c r="CF1" s="1325"/>
      <c r="CG1" s="1325"/>
      <c r="CH1" s="1325"/>
      <c r="CI1" s="1325"/>
      <c r="CJ1" s="1325"/>
      <c r="CK1" s="1325"/>
    </row>
    <row r="2" spans="1:89" s="233" customFormat="1" ht="32.25" customHeight="1" x14ac:dyDescent="0.25">
      <c r="A2" s="262"/>
      <c r="B2" s="773"/>
      <c r="C2" s="773"/>
      <c r="D2" s="773"/>
      <c r="E2" s="773"/>
      <c r="F2" s="773"/>
      <c r="G2" s="773"/>
      <c r="H2" s="773"/>
      <c r="I2" s="1801" t="str">
        <f>'PORTADA '!I1</f>
        <v>MEMORIA DE CÁLCULO DE CONDUCTORES, CANALIZACIONES Y CUADRO DE CARGAS - DT-58</v>
      </c>
      <c r="J2" s="1802"/>
      <c r="K2" s="1802"/>
      <c r="L2" s="1802"/>
      <c r="M2" s="1802"/>
      <c r="N2" s="1802"/>
      <c r="O2" s="1802"/>
      <c r="P2" s="1802"/>
      <c r="Q2" s="1802"/>
      <c r="R2" s="1802"/>
      <c r="S2" s="1802"/>
      <c r="T2" s="1802"/>
      <c r="U2" s="1802"/>
      <c r="V2" s="1802"/>
      <c r="W2" s="1802"/>
      <c r="X2" s="1802"/>
      <c r="Y2" s="1802"/>
      <c r="Z2" s="1802"/>
      <c r="AA2" s="1802"/>
      <c r="AB2" s="1802"/>
      <c r="AC2" s="1802"/>
      <c r="AD2" s="1802"/>
      <c r="AE2" s="1802"/>
      <c r="AF2" s="1802"/>
      <c r="AG2" s="1802"/>
      <c r="AH2" s="1802"/>
      <c r="AI2" s="1802"/>
      <c r="AJ2" s="1802"/>
      <c r="AK2" s="1802"/>
      <c r="AL2" s="1802"/>
      <c r="AM2" s="1802"/>
      <c r="AN2" s="1802"/>
      <c r="AO2" s="534"/>
      <c r="AP2" s="534"/>
      <c r="AQ2" s="534"/>
      <c r="AR2" s="534"/>
      <c r="AS2" s="534"/>
      <c r="AT2" s="534"/>
      <c r="AU2" s="534"/>
      <c r="AV2" s="534"/>
      <c r="AW2" s="533"/>
      <c r="AX2" s="248"/>
      <c r="AY2" s="249"/>
      <c r="AZ2" s="249"/>
      <c r="BA2" s="249"/>
      <c r="BB2" s="249"/>
      <c r="BC2" s="249"/>
      <c r="BD2" s="249"/>
      <c r="BE2" s="249"/>
      <c r="BF2" s="249"/>
      <c r="BG2" s="535"/>
      <c r="BH2" s="249"/>
      <c r="BI2" s="249"/>
      <c r="BJ2" s="1324"/>
      <c r="BK2" s="1325"/>
      <c r="BL2" s="1325"/>
      <c r="BM2" s="1325"/>
      <c r="BN2" s="1325"/>
      <c r="BO2" s="1325"/>
      <c r="BP2" s="1325"/>
      <c r="BQ2" s="1325"/>
      <c r="BR2" s="1325"/>
      <c r="BS2" s="1325"/>
      <c r="BT2" s="1325"/>
      <c r="BU2" s="1325"/>
      <c r="BV2" s="1325"/>
      <c r="BW2" s="1325"/>
      <c r="BX2" s="1325"/>
      <c r="BY2" s="1325"/>
      <c r="BZ2" s="1325"/>
      <c r="CA2" s="1325"/>
      <c r="CB2" s="1325"/>
      <c r="CC2" s="1325"/>
      <c r="CD2" s="1325"/>
      <c r="CE2" s="1325"/>
      <c r="CF2" s="1325"/>
      <c r="CG2" s="1325"/>
      <c r="CH2" s="1325"/>
      <c r="CI2" s="1325"/>
      <c r="CJ2" s="1325"/>
      <c r="CK2" s="1325"/>
    </row>
    <row r="3" spans="1:89" s="233" customFormat="1" ht="21" customHeight="1" x14ac:dyDescent="0.25">
      <c r="A3" s="262"/>
      <c r="B3" s="773"/>
      <c r="C3" s="773"/>
      <c r="D3" s="773"/>
      <c r="E3" s="773"/>
      <c r="F3" s="773"/>
      <c r="G3" s="773"/>
      <c r="H3" s="773"/>
      <c r="I3" s="1803" t="str">
        <f>'PORTADA '!I3</f>
        <v>Contrato No. 3037739 ODS-039: “INGENIERÍA BÁSICA DESARROLLO INTEGRAL DINA T - PALOGRANDE”</v>
      </c>
      <c r="J3" s="1803"/>
      <c r="K3" s="1803"/>
      <c r="L3" s="1803"/>
      <c r="M3" s="1803"/>
      <c r="N3" s="1803"/>
      <c r="O3" s="1803"/>
      <c r="P3" s="1803"/>
      <c r="Q3" s="1803"/>
      <c r="R3" s="1803"/>
      <c r="S3" s="1803"/>
      <c r="T3" s="1803"/>
      <c r="U3" s="1803"/>
      <c r="V3" s="1803"/>
      <c r="W3" s="1803"/>
      <c r="X3" s="1803"/>
      <c r="Y3" s="1803"/>
      <c r="Z3" s="1803"/>
      <c r="AA3" s="1803"/>
      <c r="AB3" s="1803"/>
      <c r="AC3" s="1803"/>
      <c r="AD3" s="1803"/>
      <c r="AE3" s="1803"/>
      <c r="AF3" s="1803"/>
      <c r="AG3" s="1803"/>
      <c r="AH3" s="1803"/>
      <c r="AI3" s="1803"/>
      <c r="AJ3" s="1803"/>
      <c r="AK3" s="1803"/>
      <c r="AL3" s="1803"/>
      <c r="AM3" s="1803"/>
      <c r="AN3" s="1803"/>
      <c r="AO3" s="536"/>
      <c r="AP3" s="536"/>
      <c r="AQ3" s="536"/>
      <c r="AR3" s="536"/>
      <c r="AS3" s="536"/>
      <c r="AT3" s="536"/>
      <c r="AU3" s="536"/>
      <c r="AV3" s="536"/>
      <c r="AW3" s="533"/>
      <c r="AX3" s="248"/>
      <c r="AY3" s="249"/>
      <c r="AZ3" s="249"/>
      <c r="BA3" s="249"/>
      <c r="BB3" s="249"/>
      <c r="BC3" s="249"/>
      <c r="BD3" s="249"/>
      <c r="BE3" s="249"/>
      <c r="BF3" s="249"/>
      <c r="BG3" s="535"/>
      <c r="BH3" s="249"/>
      <c r="BI3" s="249"/>
      <c r="BJ3" s="1324"/>
      <c r="BK3" s="1325"/>
      <c r="BL3" s="1325"/>
      <c r="BM3" s="1325"/>
      <c r="BN3" s="1325"/>
      <c r="BO3" s="1325"/>
      <c r="BP3" s="1325"/>
      <c r="BQ3" s="1325"/>
      <c r="BR3" s="1325"/>
      <c r="BS3" s="1325"/>
      <c r="BT3" s="1325"/>
      <c r="BU3" s="1325"/>
      <c r="BV3" s="1325"/>
      <c r="BW3" s="1325"/>
      <c r="BX3" s="1325"/>
      <c r="BY3" s="1325"/>
      <c r="BZ3" s="1325"/>
      <c r="CA3" s="1325"/>
      <c r="CB3" s="1325"/>
      <c r="CC3" s="1325"/>
      <c r="CD3" s="1325"/>
      <c r="CE3" s="1325"/>
      <c r="CF3" s="1325"/>
      <c r="CG3" s="1325"/>
      <c r="CH3" s="1325"/>
      <c r="CI3" s="1325"/>
      <c r="CJ3" s="1325"/>
      <c r="CK3" s="1325"/>
    </row>
    <row r="4" spans="1:89" s="233" customFormat="1" ht="13.5" customHeight="1" x14ac:dyDescent="0.25">
      <c r="A4" s="262"/>
      <c r="B4" s="773"/>
      <c r="C4" s="773"/>
      <c r="D4" s="773"/>
      <c r="E4" s="773"/>
      <c r="F4" s="773"/>
      <c r="G4" s="773"/>
      <c r="H4" s="773"/>
      <c r="I4" s="1375" t="s">
        <v>3</v>
      </c>
      <c r="J4" s="1804">
        <f>'PORTADA '!R6</f>
        <v>0</v>
      </c>
      <c r="K4" s="1804"/>
      <c r="L4" s="1804"/>
      <c r="M4" s="1804"/>
      <c r="N4" s="1804"/>
      <c r="O4" s="1804"/>
      <c r="P4" s="1804"/>
      <c r="Q4" s="1804"/>
      <c r="R4" s="1804"/>
      <c r="S4" s="1804"/>
      <c r="T4" s="1804"/>
      <c r="U4" s="1804"/>
      <c r="V4" s="1804"/>
      <c r="W4" s="1804"/>
      <c r="X4" s="1804"/>
      <c r="Y4" s="1804"/>
      <c r="Z4" s="1804"/>
      <c r="AA4" s="1804"/>
      <c r="AB4" s="1804"/>
      <c r="AC4" s="1804"/>
      <c r="AD4" s="1804"/>
      <c r="AE4" s="1804"/>
      <c r="AF4" s="1804"/>
      <c r="AG4" s="1804"/>
      <c r="AH4" s="1804"/>
      <c r="AI4" s="1804"/>
      <c r="AJ4" s="1804"/>
      <c r="AK4" s="1804"/>
      <c r="AL4" s="1804"/>
      <c r="AM4" s="1804"/>
      <c r="AN4" s="1804"/>
      <c r="AO4" s="249"/>
      <c r="AP4" s="249"/>
      <c r="AQ4" s="536"/>
      <c r="AR4" s="536"/>
      <c r="AS4" s="536"/>
      <c r="AT4" s="536"/>
      <c r="AU4" s="536"/>
      <c r="AV4" s="536"/>
      <c r="AW4" s="533"/>
      <c r="AX4" s="248"/>
      <c r="AY4" s="249"/>
      <c r="AZ4" s="249"/>
      <c r="BA4" s="249"/>
      <c r="BB4" s="249"/>
      <c r="BC4" s="249"/>
      <c r="BD4" s="249"/>
      <c r="BE4" s="249"/>
      <c r="BF4" s="249"/>
      <c r="BG4" s="535"/>
      <c r="BH4" s="249"/>
      <c r="BI4" s="249"/>
      <c r="BJ4" s="1324"/>
      <c r="BK4" s="1325"/>
      <c r="BL4" s="1325"/>
      <c r="BM4" s="1325"/>
      <c r="BN4" s="1325"/>
      <c r="BO4" s="1325"/>
      <c r="BP4" s="1325"/>
      <c r="BQ4" s="1325"/>
      <c r="BR4" s="1325"/>
      <c r="BS4" s="1325"/>
      <c r="BT4" s="1325"/>
      <c r="BU4" s="1325"/>
      <c r="BV4" s="1325"/>
      <c r="BW4" s="1325"/>
      <c r="BX4" s="1325"/>
      <c r="BY4" s="1325"/>
      <c r="BZ4" s="1325"/>
      <c r="CA4" s="1325"/>
      <c r="CB4" s="1325"/>
      <c r="CC4" s="1325"/>
      <c r="CD4" s="1325"/>
      <c r="CE4" s="1325"/>
      <c r="CF4" s="1325"/>
      <c r="CG4" s="1325"/>
      <c r="CH4" s="1325"/>
      <c r="CI4" s="1325"/>
      <c r="CJ4" s="1325"/>
      <c r="CK4" s="1325"/>
    </row>
    <row r="5" spans="1:89" s="233" customFormat="1" ht="13.5" customHeight="1" x14ac:dyDescent="0.25">
      <c r="A5" s="262"/>
      <c r="B5" s="773"/>
      <c r="C5" s="773"/>
      <c r="D5" s="773"/>
      <c r="E5" s="773"/>
      <c r="F5" s="773"/>
      <c r="G5" s="773"/>
      <c r="H5" s="773"/>
      <c r="I5" s="1375" t="s">
        <v>4</v>
      </c>
      <c r="J5" s="1553">
        <f>'PORTADA '!X6</f>
        <v>46007</v>
      </c>
      <c r="K5" s="1554"/>
      <c r="L5" s="1554"/>
      <c r="M5" s="1554"/>
      <c r="N5" s="1554"/>
      <c r="O5" s="1553"/>
      <c r="P5" s="1554"/>
      <c r="Q5" s="1554"/>
      <c r="R5" s="1554"/>
      <c r="S5" s="1554"/>
      <c r="T5" s="1553"/>
      <c r="U5" s="1554"/>
      <c r="V5" s="1554"/>
      <c r="W5" s="1554"/>
      <c r="X5" s="1554"/>
      <c r="Y5" s="1553"/>
      <c r="Z5" s="1554"/>
      <c r="AA5" s="1553"/>
      <c r="AB5" s="1554"/>
      <c r="AC5" s="1554"/>
      <c r="AD5" s="1554"/>
      <c r="AE5" s="1554"/>
      <c r="AF5" s="1553"/>
      <c r="AG5" s="1554"/>
      <c r="AH5" s="1554"/>
      <c r="AI5" s="1554"/>
      <c r="AJ5" s="1554"/>
      <c r="AK5" s="1553"/>
      <c r="AL5" s="1554"/>
      <c r="AM5" s="1554"/>
      <c r="AN5" s="1554"/>
      <c r="AO5" s="249"/>
      <c r="AP5" s="249"/>
      <c r="AQ5" s="537"/>
      <c r="AR5" s="537"/>
      <c r="AS5" s="537"/>
      <c r="AT5" s="537"/>
      <c r="AU5" s="537"/>
      <c r="AV5" s="537"/>
      <c r="AW5" s="533"/>
      <c r="AX5" s="248"/>
      <c r="AY5" s="249"/>
      <c r="AZ5" s="249"/>
      <c r="BA5" s="249"/>
      <c r="BB5" s="249"/>
      <c r="BC5" s="249"/>
      <c r="BD5" s="249"/>
      <c r="BE5" s="249"/>
      <c r="BF5" s="249"/>
      <c r="BG5" s="535"/>
      <c r="BH5" s="249"/>
      <c r="BI5" s="249"/>
      <c r="BJ5" s="1324"/>
      <c r="BK5" s="1325"/>
      <c r="BL5" s="1325"/>
      <c r="BM5" s="1325"/>
      <c r="BN5" s="1325"/>
      <c r="BO5" s="1325"/>
      <c r="BP5" s="1325"/>
      <c r="BQ5" s="1325"/>
      <c r="BR5" s="1325"/>
      <c r="BS5" s="1325"/>
      <c r="BT5" s="1325"/>
      <c r="BU5" s="1325"/>
      <c r="BV5" s="1325"/>
      <c r="BW5" s="1325"/>
      <c r="BX5" s="1325"/>
      <c r="BY5" s="1325"/>
      <c r="BZ5" s="1325"/>
      <c r="CA5" s="1325"/>
      <c r="CB5" s="1325"/>
      <c r="CC5" s="1325"/>
      <c r="CD5" s="1325"/>
      <c r="CE5" s="1325"/>
      <c r="CF5" s="1325"/>
      <c r="CG5" s="1325"/>
      <c r="CH5" s="1325"/>
      <c r="CI5" s="1325"/>
      <c r="CJ5" s="1325"/>
      <c r="CK5" s="1325"/>
    </row>
    <row r="6" spans="1:89" s="233" customFormat="1" ht="12.9" customHeight="1" x14ac:dyDescent="0.25">
      <c r="A6" s="262"/>
      <c r="B6" s="773"/>
      <c r="C6" s="773"/>
      <c r="D6" s="773"/>
      <c r="E6" s="773"/>
      <c r="F6" s="773"/>
      <c r="G6" s="773"/>
      <c r="H6" s="773"/>
      <c r="I6" s="773"/>
      <c r="J6" s="773"/>
      <c r="K6" s="773"/>
      <c r="L6" s="775"/>
      <c r="M6" s="775"/>
      <c r="N6" s="775"/>
      <c r="O6" s="775"/>
      <c r="P6" s="775"/>
      <c r="Q6" s="775"/>
      <c r="R6" s="775"/>
      <c r="S6" s="775"/>
      <c r="T6" s="775"/>
      <c r="U6" s="775"/>
      <c r="V6" s="775"/>
      <c r="W6" s="760"/>
      <c r="X6" s="760"/>
      <c r="Y6" s="760"/>
      <c r="Z6" s="760"/>
      <c r="AA6" s="760"/>
      <c r="AB6" s="760"/>
      <c r="AC6" s="760"/>
      <c r="AD6" s="776"/>
      <c r="AE6" s="776"/>
      <c r="AF6" s="776"/>
      <c r="AG6" s="776"/>
      <c r="AH6" s="776"/>
      <c r="AI6" s="776"/>
      <c r="AJ6" s="921"/>
      <c r="AK6" s="777"/>
      <c r="AL6" s="777"/>
      <c r="AM6" s="777"/>
      <c r="AN6" s="777"/>
      <c r="AO6" s="1811" t="s">
        <v>1099</v>
      </c>
      <c r="AP6" s="1808"/>
      <c r="AQ6" s="1808" t="s">
        <v>580</v>
      </c>
      <c r="AR6" s="1809"/>
      <c r="AS6" s="1809"/>
      <c r="AT6" s="538"/>
      <c r="AU6" s="538"/>
      <c r="AV6" s="538"/>
      <c r="AW6" s="533"/>
      <c r="AX6" s="533"/>
      <c r="AY6" s="533"/>
      <c r="AZ6" s="533"/>
      <c r="BA6" s="533"/>
      <c r="BB6" s="533"/>
      <c r="BC6" s="533"/>
      <c r="BD6" s="533"/>
      <c r="BE6" s="533"/>
      <c r="BF6" s="206">
        <f>+COUNTIF($BE$16:BE26,2)</f>
        <v>8</v>
      </c>
      <c r="BG6" s="206">
        <f>+COUNTIF($BE$27:BE36,2)</f>
        <v>9</v>
      </c>
      <c r="BH6" s="533"/>
      <c r="BI6" s="533"/>
      <c r="BJ6" s="1324"/>
      <c r="BK6" s="1325"/>
      <c r="BL6" s="1325"/>
      <c r="BM6" s="1325"/>
      <c r="BN6" s="1325"/>
      <c r="BO6" s="1325"/>
      <c r="BP6" s="1325"/>
      <c r="BQ6" s="1325"/>
      <c r="BR6" s="1325"/>
      <c r="BS6" s="1325"/>
      <c r="BT6" s="1325"/>
      <c r="BU6" s="1325"/>
      <c r="BV6" s="1325"/>
      <c r="BW6" s="1325"/>
      <c r="BX6" s="1325"/>
      <c r="BY6" s="1325"/>
      <c r="BZ6" s="1325"/>
      <c r="CA6" s="1325"/>
      <c r="CB6" s="1325"/>
      <c r="CC6" s="1325"/>
      <c r="CD6" s="1325"/>
      <c r="CE6" s="1325"/>
      <c r="CF6" s="1325"/>
      <c r="CG6" s="1325"/>
      <c r="CH6" s="1325"/>
      <c r="CI6" s="1325"/>
      <c r="CJ6" s="1325"/>
      <c r="CK6" s="1325"/>
    </row>
    <row r="7" spans="1:89" s="571" customFormat="1" ht="11.25" customHeight="1" thickBot="1" x14ac:dyDescent="0.3">
      <c r="A7" s="569"/>
      <c r="C7" s="571">
        <v>1</v>
      </c>
      <c r="D7" s="571">
        <v>2</v>
      </c>
      <c r="E7" s="571">
        <v>3</v>
      </c>
      <c r="F7" s="571">
        <v>4</v>
      </c>
      <c r="G7" s="571">
        <v>5</v>
      </c>
      <c r="H7" s="571">
        <v>6</v>
      </c>
      <c r="I7" s="571">
        <v>7</v>
      </c>
      <c r="J7" s="571">
        <v>8</v>
      </c>
      <c r="K7" s="571">
        <v>9</v>
      </c>
      <c r="L7" s="571">
        <v>10</v>
      </c>
      <c r="M7" s="571">
        <v>11</v>
      </c>
      <c r="N7" s="571">
        <v>12</v>
      </c>
      <c r="O7" s="571">
        <v>13</v>
      </c>
      <c r="P7" s="571">
        <v>14</v>
      </c>
      <c r="Q7" s="571">
        <v>15</v>
      </c>
      <c r="R7" s="571">
        <v>16</v>
      </c>
      <c r="S7" s="571">
        <v>17</v>
      </c>
      <c r="T7" s="571">
        <v>18</v>
      </c>
      <c r="U7" s="571">
        <v>19</v>
      </c>
      <c r="V7" s="571">
        <v>20</v>
      </c>
      <c r="W7" s="571">
        <v>21</v>
      </c>
      <c r="X7" s="571">
        <v>22</v>
      </c>
      <c r="Y7" s="571">
        <v>23</v>
      </c>
      <c r="Z7" s="571">
        <v>24</v>
      </c>
      <c r="AA7" s="571">
        <v>25</v>
      </c>
      <c r="AB7" s="571">
        <v>26</v>
      </c>
      <c r="AC7" s="571">
        <v>27</v>
      </c>
      <c r="AD7" s="571">
        <v>28</v>
      </c>
      <c r="AE7" s="571">
        <v>29</v>
      </c>
      <c r="AF7" s="571">
        <v>30</v>
      </c>
      <c r="AG7" s="571">
        <v>31</v>
      </c>
      <c r="AH7" s="571">
        <v>32</v>
      </c>
      <c r="AI7" s="571">
        <v>33</v>
      </c>
      <c r="AJ7" s="571">
        <v>34</v>
      </c>
      <c r="AK7" s="571">
        <v>35</v>
      </c>
      <c r="AL7" s="571">
        <v>36</v>
      </c>
      <c r="AM7" s="571">
        <v>37</v>
      </c>
      <c r="AN7" s="571">
        <v>38</v>
      </c>
      <c r="AO7" s="351">
        <v>39</v>
      </c>
      <c r="AP7" s="351">
        <v>40</v>
      </c>
      <c r="AQ7" s="351">
        <v>41</v>
      </c>
      <c r="AR7" s="351">
        <v>42</v>
      </c>
      <c r="AS7" s="351">
        <v>43</v>
      </c>
      <c r="AT7" s="351">
        <v>44</v>
      </c>
      <c r="AU7" s="351">
        <v>45</v>
      </c>
      <c r="AV7" s="351">
        <v>46</v>
      </c>
      <c r="AW7" s="351">
        <v>47</v>
      </c>
      <c r="AX7" s="351">
        <v>48</v>
      </c>
      <c r="AY7" s="351">
        <v>49</v>
      </c>
      <c r="AZ7" s="351">
        <v>50</v>
      </c>
      <c r="BA7" s="351">
        <v>51</v>
      </c>
      <c r="BB7" s="351">
        <v>52</v>
      </c>
      <c r="BC7" s="351">
        <v>53</v>
      </c>
      <c r="BD7" s="351">
        <v>54</v>
      </c>
      <c r="BE7" s="351">
        <v>55</v>
      </c>
      <c r="BF7" s="351">
        <v>56</v>
      </c>
      <c r="BG7" s="351">
        <v>57</v>
      </c>
      <c r="BH7" s="351">
        <v>58</v>
      </c>
      <c r="BI7" s="351">
        <v>59</v>
      </c>
      <c r="BJ7" s="1326"/>
      <c r="BK7" s="1327"/>
      <c r="BL7" s="1327"/>
      <c r="BM7" s="1327"/>
      <c r="BN7" s="1327"/>
      <c r="BO7" s="1327"/>
      <c r="BP7" s="1327"/>
      <c r="BQ7" s="1327"/>
      <c r="BR7" s="1327"/>
      <c r="BS7" s="1327"/>
      <c r="BT7" s="1327"/>
      <c r="BU7" s="1327"/>
      <c r="BV7" s="1327"/>
      <c r="BW7" s="1327"/>
      <c r="BX7" s="1327"/>
      <c r="BY7" s="1327"/>
      <c r="BZ7" s="1327"/>
      <c r="CA7" s="1327"/>
      <c r="CB7" s="1327"/>
      <c r="CC7" s="1327"/>
      <c r="CD7" s="1327"/>
      <c r="CE7" s="1327"/>
      <c r="CF7" s="1327"/>
      <c r="CG7" s="1327"/>
      <c r="CH7" s="1327"/>
      <c r="CI7" s="1327"/>
      <c r="CJ7" s="1327"/>
      <c r="CK7" s="1327"/>
    </row>
    <row r="8" spans="1:89" s="545" customFormat="1" ht="12.75" customHeight="1" x14ac:dyDescent="0.25">
      <c r="A8" s="1313"/>
      <c r="B8" s="1016" t="s">
        <v>441</v>
      </c>
      <c r="C8" s="1806" t="s">
        <v>442</v>
      </c>
      <c r="D8" s="1806"/>
      <c r="E8" s="1806"/>
      <c r="F8" s="1806" t="s">
        <v>443</v>
      </c>
      <c r="G8" s="1806"/>
      <c r="H8" s="1806"/>
      <c r="I8" s="1806"/>
      <c r="J8" s="1806"/>
      <c r="K8" s="1806" t="s">
        <v>444</v>
      </c>
      <c r="L8" s="1806"/>
      <c r="M8" s="1806"/>
      <c r="N8" s="1806"/>
      <c r="O8" s="1806"/>
      <c r="P8" s="1806" t="s">
        <v>445</v>
      </c>
      <c r="Q8" s="1806"/>
      <c r="R8" s="1806"/>
      <c r="S8" s="1806"/>
      <c r="T8" s="1806"/>
      <c r="U8" s="1806"/>
      <c r="V8" s="1806"/>
      <c r="W8" s="996" t="s">
        <v>446</v>
      </c>
      <c r="X8" s="1810" t="s">
        <v>996</v>
      </c>
      <c r="Y8" s="1810"/>
      <c r="Z8" s="996" t="s">
        <v>447</v>
      </c>
      <c r="AA8" s="996" t="s">
        <v>448</v>
      </c>
      <c r="AB8" s="1017" t="s">
        <v>449</v>
      </c>
      <c r="AC8" s="996" t="s">
        <v>450</v>
      </c>
      <c r="AD8" s="996" t="s">
        <v>451</v>
      </c>
      <c r="AE8" s="996" t="s">
        <v>452</v>
      </c>
      <c r="AF8" s="996" t="s">
        <v>453</v>
      </c>
      <c r="AG8" s="996" t="s">
        <v>454</v>
      </c>
      <c r="AH8" s="996" t="s">
        <v>455</v>
      </c>
      <c r="AI8" s="996" t="s">
        <v>456</v>
      </c>
      <c r="AJ8" s="996" t="s">
        <v>457</v>
      </c>
      <c r="AK8" s="996" t="s">
        <v>458</v>
      </c>
      <c r="AL8" s="996" t="s">
        <v>459</v>
      </c>
      <c r="AM8" s="996" t="s">
        <v>460</v>
      </c>
      <c r="AN8" s="996" t="s">
        <v>460</v>
      </c>
      <c r="AO8" s="922" t="s">
        <v>462</v>
      </c>
      <c r="AP8" s="923" t="s">
        <v>463</v>
      </c>
      <c r="AQ8" s="923" t="s">
        <v>464</v>
      </c>
      <c r="AR8" s="923" t="s">
        <v>465</v>
      </c>
      <c r="AS8" s="923" t="s">
        <v>466</v>
      </c>
      <c r="AT8" s="923" t="s">
        <v>467</v>
      </c>
      <c r="AU8" s="923" t="s">
        <v>468</v>
      </c>
      <c r="AV8" s="923" t="s">
        <v>997</v>
      </c>
      <c r="AW8" s="923" t="s">
        <v>998</v>
      </c>
      <c r="AX8" s="888" t="s">
        <v>469</v>
      </c>
      <c r="AY8" s="888" t="s">
        <v>470</v>
      </c>
      <c r="AZ8" s="888" t="s">
        <v>471</v>
      </c>
      <c r="BA8" s="888" t="s">
        <v>472</v>
      </c>
      <c r="BB8" s="888" t="s">
        <v>473</v>
      </c>
      <c r="BC8" s="888" t="s">
        <v>474</v>
      </c>
      <c r="BD8" s="888" t="s">
        <v>475</v>
      </c>
      <c r="BE8" s="888" t="s">
        <v>476</v>
      </c>
      <c r="BF8" s="1855" t="s">
        <v>1063</v>
      </c>
      <c r="BG8" s="1795" t="s">
        <v>1064</v>
      </c>
      <c r="BH8" s="888" t="s">
        <v>477</v>
      </c>
      <c r="BI8" s="1323" t="s">
        <v>478</v>
      </c>
      <c r="BJ8" s="341"/>
      <c r="BK8" s="1321"/>
      <c r="BL8" s="1321"/>
      <c r="BM8" s="1321"/>
      <c r="BN8" s="1321"/>
      <c r="BO8" s="1321"/>
      <c r="BP8" s="1321"/>
      <c r="BQ8" s="1321"/>
      <c r="BR8" s="1321"/>
      <c r="BS8" s="1321"/>
      <c r="BT8" s="1321"/>
      <c r="BU8" s="1321"/>
      <c r="BV8" s="1321"/>
      <c r="BW8" s="1321"/>
      <c r="BX8" s="1321"/>
      <c r="BY8" s="1321"/>
      <c r="BZ8" s="1321"/>
      <c r="CA8" s="1321"/>
      <c r="CB8" s="1321"/>
      <c r="CC8" s="1321"/>
      <c r="CD8" s="1321"/>
      <c r="CE8" s="1321"/>
      <c r="CF8" s="1321"/>
      <c r="CG8" s="1321"/>
      <c r="CH8" s="1321"/>
      <c r="CI8" s="1321"/>
      <c r="CJ8" s="1321"/>
      <c r="CK8" s="1321"/>
    </row>
    <row r="9" spans="1:89" ht="15" customHeight="1" x14ac:dyDescent="0.25">
      <c r="A9" s="1314"/>
      <c r="B9" s="1793" t="s">
        <v>0</v>
      </c>
      <c r="C9" s="1797" t="s">
        <v>1100</v>
      </c>
      <c r="D9" s="1797"/>
      <c r="E9" s="1797"/>
      <c r="F9" s="1797" t="s">
        <v>1067</v>
      </c>
      <c r="G9" s="1797"/>
      <c r="H9" s="1797"/>
      <c r="I9" s="1797"/>
      <c r="J9" s="1797"/>
      <c r="K9" s="1807" t="s">
        <v>1101</v>
      </c>
      <c r="L9" s="1807"/>
      <c r="M9" s="1807"/>
      <c r="N9" s="1807"/>
      <c r="O9" s="1807"/>
      <c r="P9" s="1807"/>
      <c r="Q9" s="1807"/>
      <c r="R9" s="1807"/>
      <c r="S9" s="1807"/>
      <c r="T9" s="1807"/>
      <c r="U9" s="1807"/>
      <c r="V9" s="1807"/>
      <c r="W9" s="1797" t="s">
        <v>1102</v>
      </c>
      <c r="X9" s="1797"/>
      <c r="Y9" s="1797"/>
      <c r="Z9" s="1797"/>
      <c r="AA9" s="1797"/>
      <c r="AB9" s="1797"/>
      <c r="AC9" s="1797"/>
      <c r="AD9" s="1797"/>
      <c r="AE9" s="1797" t="s">
        <v>537</v>
      </c>
      <c r="AF9" s="1797"/>
      <c r="AG9" s="1797"/>
      <c r="AH9" s="1797"/>
      <c r="AI9" s="1797"/>
      <c r="AJ9" s="1797"/>
      <c r="AK9" s="1797"/>
      <c r="AL9" s="1797"/>
      <c r="AM9" s="1797"/>
      <c r="AN9" s="1797"/>
      <c r="AO9" s="1812" t="s">
        <v>1103</v>
      </c>
      <c r="AP9" s="1798" t="s">
        <v>1104</v>
      </c>
      <c r="AQ9" s="1798" t="s">
        <v>1105</v>
      </c>
      <c r="AR9" s="1798" t="s">
        <v>1106</v>
      </c>
      <c r="AS9" s="1798" t="s">
        <v>1107</v>
      </c>
      <c r="AT9" s="1798" t="s">
        <v>1108</v>
      </c>
      <c r="AU9" s="1798" t="s">
        <v>1109</v>
      </c>
      <c r="AV9" s="1798" t="s">
        <v>1110</v>
      </c>
      <c r="AW9" s="1798" t="s">
        <v>1111</v>
      </c>
      <c r="AX9" s="1795" t="s">
        <v>1081</v>
      </c>
      <c r="AY9" s="1795" t="s">
        <v>1083</v>
      </c>
      <c r="AZ9" s="1795" t="s">
        <v>1112</v>
      </c>
      <c r="BA9" s="1795" t="s">
        <v>1113</v>
      </c>
      <c r="BB9" s="1795" t="s">
        <v>1114</v>
      </c>
      <c r="BC9" s="1795" t="s">
        <v>1115</v>
      </c>
      <c r="BD9" s="1795" t="s">
        <v>1116</v>
      </c>
      <c r="BE9" s="1853" t="s">
        <v>571</v>
      </c>
      <c r="BF9" s="1855"/>
      <c r="BG9" s="1795"/>
      <c r="BH9" s="1795" t="s">
        <v>1117</v>
      </c>
      <c r="BI9" s="1854" t="s">
        <v>1118</v>
      </c>
    </row>
    <row r="10" spans="1:89" ht="37.5" customHeight="1" x14ac:dyDescent="0.25">
      <c r="A10" s="1805" t="s">
        <v>1065</v>
      </c>
      <c r="B10" s="1793"/>
      <c r="C10" s="1797"/>
      <c r="D10" s="1797"/>
      <c r="E10" s="1797"/>
      <c r="F10" s="1797"/>
      <c r="G10" s="1797"/>
      <c r="H10" s="1797"/>
      <c r="I10" s="1797"/>
      <c r="J10" s="1797"/>
      <c r="K10" s="1797" t="s">
        <v>1119</v>
      </c>
      <c r="L10" s="1797"/>
      <c r="M10" s="1797"/>
      <c r="N10" s="1797"/>
      <c r="O10" s="1797"/>
      <c r="P10" s="1797" t="s">
        <v>520</v>
      </c>
      <c r="Q10" s="1797"/>
      <c r="R10" s="1797"/>
      <c r="S10" s="1797"/>
      <c r="T10" s="1797"/>
      <c r="U10" s="1797"/>
      <c r="V10" s="1793" t="s">
        <v>1120</v>
      </c>
      <c r="W10" s="1793" t="s">
        <v>1121</v>
      </c>
      <c r="X10" s="1793" t="s">
        <v>1121</v>
      </c>
      <c r="Y10" s="1793" t="s">
        <v>1122</v>
      </c>
      <c r="Z10" s="1793" t="s">
        <v>1123</v>
      </c>
      <c r="AA10" s="1793" t="s">
        <v>587</v>
      </c>
      <c r="AB10" s="1793" t="s">
        <v>1104</v>
      </c>
      <c r="AC10" s="1793" t="s">
        <v>1124</v>
      </c>
      <c r="AD10" s="1797" t="s">
        <v>1125</v>
      </c>
      <c r="AE10" s="1793" t="s">
        <v>1126</v>
      </c>
      <c r="AF10" s="1793" t="s">
        <v>1127</v>
      </c>
      <c r="AG10" s="1793" t="s">
        <v>1128</v>
      </c>
      <c r="AH10" s="1793" t="s">
        <v>1129</v>
      </c>
      <c r="AI10" s="1793" t="s">
        <v>1105</v>
      </c>
      <c r="AJ10" s="1793" t="s">
        <v>1130</v>
      </c>
      <c r="AK10" s="1793" t="s">
        <v>1131</v>
      </c>
      <c r="AL10" s="1793" t="s">
        <v>1132</v>
      </c>
      <c r="AM10" s="1793" t="s">
        <v>1133</v>
      </c>
      <c r="AN10" s="1797" t="s">
        <v>1134</v>
      </c>
      <c r="AO10" s="1813"/>
      <c r="AP10" s="1799"/>
      <c r="AQ10" s="1799"/>
      <c r="AR10" s="1799"/>
      <c r="AS10" s="1799"/>
      <c r="AT10" s="1799"/>
      <c r="AU10" s="1799"/>
      <c r="AV10" s="1799"/>
      <c r="AW10" s="1799"/>
      <c r="AX10" s="1795"/>
      <c r="AY10" s="1795"/>
      <c r="AZ10" s="1795"/>
      <c r="BA10" s="1795"/>
      <c r="BB10" s="1795"/>
      <c r="BC10" s="1795"/>
      <c r="BD10" s="1795"/>
      <c r="BE10" s="1853"/>
      <c r="BF10" s="1855"/>
      <c r="BG10" s="1795"/>
      <c r="BH10" s="1795"/>
      <c r="BI10" s="1854"/>
      <c r="BR10" s="1787" t="s">
        <v>1135</v>
      </c>
      <c r="BS10" s="1787" t="s">
        <v>1132</v>
      </c>
      <c r="BV10" s="1853" t="s">
        <v>1136</v>
      </c>
      <c r="BW10" s="1853"/>
      <c r="BX10" s="1853"/>
      <c r="BY10" s="1853"/>
      <c r="BZ10" s="1853" t="s">
        <v>1137</v>
      </c>
      <c r="CA10" s="1853"/>
      <c r="CB10" s="1853"/>
      <c r="CC10" s="1853"/>
      <c r="CD10" s="1853"/>
      <c r="CE10" s="1853"/>
      <c r="CF10" s="1853" t="s">
        <v>1138</v>
      </c>
      <c r="CG10" s="1853"/>
      <c r="CH10" s="1853"/>
      <c r="CI10" s="1853"/>
      <c r="CJ10" s="1853"/>
      <c r="CK10" s="1853"/>
    </row>
    <row r="11" spans="1:89" ht="43.65" customHeight="1" x14ac:dyDescent="0.25">
      <c r="A11" s="1805"/>
      <c r="B11" s="1793"/>
      <c r="C11" s="1797"/>
      <c r="D11" s="1797"/>
      <c r="E11" s="1797"/>
      <c r="F11" s="1797"/>
      <c r="G11" s="1797"/>
      <c r="H11" s="1797"/>
      <c r="I11" s="1797"/>
      <c r="J11" s="1797"/>
      <c r="K11" s="1797"/>
      <c r="L11" s="1797"/>
      <c r="M11" s="1797"/>
      <c r="N11" s="1797"/>
      <c r="O11" s="1797"/>
      <c r="P11" s="1797"/>
      <c r="Q11" s="1797"/>
      <c r="R11" s="1797"/>
      <c r="S11" s="1797"/>
      <c r="T11" s="1797"/>
      <c r="U11" s="1797"/>
      <c r="V11" s="1793"/>
      <c r="W11" s="1793"/>
      <c r="X11" s="1793"/>
      <c r="Y11" s="1793"/>
      <c r="Z11" s="1793"/>
      <c r="AA11" s="1793"/>
      <c r="AB11" s="1793"/>
      <c r="AC11" s="1793"/>
      <c r="AD11" s="1797"/>
      <c r="AE11" s="1793"/>
      <c r="AF11" s="1793"/>
      <c r="AG11" s="1793"/>
      <c r="AH11" s="1793"/>
      <c r="AI11" s="1793"/>
      <c r="AJ11" s="1793"/>
      <c r="AK11" s="1793"/>
      <c r="AL11" s="1793"/>
      <c r="AM11" s="1793"/>
      <c r="AN11" s="1797"/>
      <c r="AO11" s="1813"/>
      <c r="AP11" s="1799"/>
      <c r="AQ11" s="1799"/>
      <c r="AR11" s="1799"/>
      <c r="AS11" s="1799"/>
      <c r="AT11" s="1799"/>
      <c r="AU11" s="1799"/>
      <c r="AV11" s="1799"/>
      <c r="AW11" s="1799"/>
      <c r="AX11" s="1795"/>
      <c r="AY11" s="1795"/>
      <c r="AZ11" s="1795"/>
      <c r="BA11" s="1795"/>
      <c r="BB11" s="1795"/>
      <c r="BC11" s="1795"/>
      <c r="BD11" s="1795"/>
      <c r="BE11" s="1853"/>
      <c r="BF11" s="1855"/>
      <c r="BG11" s="1795"/>
      <c r="BH11" s="1795"/>
      <c r="BI11" s="1854"/>
      <c r="BR11" s="1787"/>
      <c r="BS11" s="1787"/>
      <c r="BV11" s="1853"/>
      <c r="BW11" s="1853"/>
      <c r="BX11" s="1853"/>
      <c r="BY11" s="1853"/>
      <c r="BZ11" s="1853"/>
      <c r="CA11" s="1853"/>
      <c r="CB11" s="1853"/>
      <c r="CC11" s="1853"/>
      <c r="CD11" s="1853"/>
      <c r="CE11" s="1853"/>
      <c r="CF11" s="1853"/>
      <c r="CG11" s="1853"/>
      <c r="CH11" s="1853"/>
      <c r="CI11" s="1853"/>
      <c r="CJ11" s="1853"/>
      <c r="CK11" s="1853"/>
    </row>
    <row r="12" spans="1:89" ht="24.75" customHeight="1" x14ac:dyDescent="0.25">
      <c r="A12" s="1805"/>
      <c r="B12" s="1793"/>
      <c r="C12" s="1797"/>
      <c r="D12" s="1797"/>
      <c r="E12" s="1797"/>
      <c r="F12" s="1797"/>
      <c r="G12" s="1797"/>
      <c r="H12" s="1797"/>
      <c r="I12" s="1797"/>
      <c r="J12" s="1797"/>
      <c r="K12" s="1797"/>
      <c r="L12" s="1797"/>
      <c r="M12" s="1797"/>
      <c r="N12" s="1797"/>
      <c r="O12" s="1797"/>
      <c r="P12" s="1797"/>
      <c r="Q12" s="1797"/>
      <c r="R12" s="1797"/>
      <c r="S12" s="1797"/>
      <c r="T12" s="1797"/>
      <c r="U12" s="1797"/>
      <c r="V12" s="1793"/>
      <c r="W12" s="1793"/>
      <c r="X12" s="1793"/>
      <c r="Y12" s="1793"/>
      <c r="Z12" s="1793"/>
      <c r="AA12" s="1793"/>
      <c r="AB12" s="1793"/>
      <c r="AC12" s="1793"/>
      <c r="AD12" s="1797"/>
      <c r="AE12" s="1793"/>
      <c r="AF12" s="1793"/>
      <c r="AG12" s="1793"/>
      <c r="AH12" s="1793"/>
      <c r="AI12" s="1793"/>
      <c r="AJ12" s="1793"/>
      <c r="AK12" s="1793"/>
      <c r="AL12" s="1793"/>
      <c r="AM12" s="1793"/>
      <c r="AN12" s="1797"/>
      <c r="AO12" s="1814"/>
      <c r="AP12" s="1799"/>
      <c r="AQ12" s="1800"/>
      <c r="AR12" s="1799"/>
      <c r="AS12" s="1799"/>
      <c r="AT12" s="1799"/>
      <c r="AU12" s="1799"/>
      <c r="AV12" s="1799"/>
      <c r="AW12" s="1799"/>
      <c r="AX12" s="1795"/>
      <c r="AY12" s="1795"/>
      <c r="AZ12" s="1795"/>
      <c r="BA12" s="1795"/>
      <c r="BB12" s="1795"/>
      <c r="BC12" s="1795"/>
      <c r="BD12" s="1795"/>
      <c r="BE12" s="1853"/>
      <c r="BF12" s="1855"/>
      <c r="BG12" s="1795"/>
      <c r="BH12" s="1795"/>
      <c r="BI12" s="1854"/>
      <c r="BR12" s="1787"/>
      <c r="BS12" s="1787"/>
      <c r="BV12" s="1319" t="s">
        <v>1139</v>
      </c>
      <c r="BW12" s="1319" t="s">
        <v>1140</v>
      </c>
      <c r="BX12" s="1319" t="s">
        <v>1141</v>
      </c>
      <c r="BY12" s="1320" t="s">
        <v>1142</v>
      </c>
      <c r="BZ12" s="1319" t="s">
        <v>1143</v>
      </c>
      <c r="CA12" s="1319" t="s">
        <v>1140</v>
      </c>
      <c r="CB12" s="1319" t="s">
        <v>1144</v>
      </c>
      <c r="CC12" s="1319" t="s">
        <v>1145</v>
      </c>
      <c r="CD12" s="1319" t="s">
        <v>1146</v>
      </c>
      <c r="CE12" s="1319" t="s">
        <v>1147</v>
      </c>
      <c r="CF12" s="1319" t="s">
        <v>1143</v>
      </c>
      <c r="CG12" s="1319" t="s">
        <v>1148</v>
      </c>
      <c r="CH12" s="1319" t="s">
        <v>1144</v>
      </c>
      <c r="CI12" s="1319" t="s">
        <v>1145</v>
      </c>
      <c r="CJ12" s="1319" t="s">
        <v>1146</v>
      </c>
      <c r="CK12" s="1319" t="s">
        <v>1147</v>
      </c>
    </row>
    <row r="13" spans="1:89" ht="23.25" customHeight="1" thickBot="1" x14ac:dyDescent="0.3">
      <c r="A13" s="926"/>
      <c r="B13" s="1794"/>
      <c r="C13" s="1796"/>
      <c r="D13" s="1796"/>
      <c r="E13" s="1796"/>
      <c r="F13" s="1796"/>
      <c r="G13" s="1796"/>
      <c r="H13" s="1796"/>
      <c r="I13" s="1796"/>
      <c r="J13" s="1796"/>
      <c r="K13" s="1796" t="s">
        <v>1149</v>
      </c>
      <c r="L13" s="1796"/>
      <c r="M13" s="1796"/>
      <c r="N13" s="1796"/>
      <c r="O13" s="1796"/>
      <c r="P13" s="1796"/>
      <c r="Q13" s="1796"/>
      <c r="R13" s="1796"/>
      <c r="S13" s="1796"/>
      <c r="T13" s="1796"/>
      <c r="U13" s="1796"/>
      <c r="V13" s="1018" t="s">
        <v>582</v>
      </c>
      <c r="W13" s="1018" t="s">
        <v>1150</v>
      </c>
      <c r="X13" s="1018" t="s">
        <v>1150</v>
      </c>
      <c r="Y13" s="1018" t="s">
        <v>1150</v>
      </c>
      <c r="Z13" s="1018" t="s">
        <v>1151</v>
      </c>
      <c r="AA13" s="1018" t="s">
        <v>1152</v>
      </c>
      <c r="AB13" s="1794"/>
      <c r="AC13" s="1018" t="s">
        <v>586</v>
      </c>
      <c r="AD13" s="1796"/>
      <c r="AE13" s="1018" t="s">
        <v>1152</v>
      </c>
      <c r="AF13" s="1019" t="s">
        <v>1153</v>
      </c>
      <c r="AG13" s="1019" t="s">
        <v>1154</v>
      </c>
      <c r="AH13" s="1019" t="s">
        <v>1154</v>
      </c>
      <c r="AI13" s="1018" t="s">
        <v>1155</v>
      </c>
      <c r="AJ13" s="1018" t="s">
        <v>586</v>
      </c>
      <c r="AK13" s="1018" t="s">
        <v>586</v>
      </c>
      <c r="AL13" s="1018" t="s">
        <v>586</v>
      </c>
      <c r="AM13" s="1018" t="s">
        <v>1149</v>
      </c>
      <c r="AN13" s="1796"/>
      <c r="AO13" s="927" t="s">
        <v>1152</v>
      </c>
      <c r="AP13" s="1800"/>
      <c r="AQ13" s="928" t="s">
        <v>1155</v>
      </c>
      <c r="AR13" s="1800"/>
      <c r="AS13" s="1800"/>
      <c r="AT13" s="1800"/>
      <c r="AU13" s="1800"/>
      <c r="AV13" s="1800"/>
      <c r="AW13" s="1800"/>
      <c r="AX13" s="1795"/>
      <c r="AY13" s="1795"/>
      <c r="AZ13" s="1795"/>
      <c r="BA13" s="1795"/>
      <c r="BB13" s="1795"/>
      <c r="BC13" s="1795"/>
      <c r="BD13" s="1795"/>
      <c r="BE13" s="925" t="s">
        <v>587</v>
      </c>
      <c r="BF13" s="929">
        <f>+'CÁLCULO CONDUCTORES DE MT'!$B$14</f>
        <v>1</v>
      </c>
      <c r="BG13" s="930">
        <f>+'H2-CONDUCTORES DE BT'!$B$14</f>
        <v>9</v>
      </c>
      <c r="BH13" s="1795"/>
      <c r="BI13" s="1854"/>
      <c r="BR13" s="1328" t="s">
        <v>586</v>
      </c>
      <c r="BS13" s="1328" t="s">
        <v>586</v>
      </c>
      <c r="BV13" s="1319"/>
      <c r="BZ13" s="1319"/>
      <c r="CF13" s="1319"/>
    </row>
    <row r="14" spans="1:89" s="545" customFormat="1" ht="30" customHeight="1" thickBot="1" x14ac:dyDescent="0.3">
      <c r="A14" s="931"/>
      <c r="B14" s="1003">
        <v>4</v>
      </c>
      <c r="C14" s="1669" t="s">
        <v>1156</v>
      </c>
      <c r="D14" s="1669"/>
      <c r="E14" s="1669"/>
      <c r="F14" s="1669"/>
      <c r="G14" s="1669"/>
      <c r="H14" s="1669"/>
      <c r="I14" s="1669"/>
      <c r="J14" s="1669"/>
      <c r="K14" s="1669"/>
      <c r="L14" s="1669"/>
      <c r="M14" s="1669"/>
      <c r="N14" s="1669"/>
      <c r="O14" s="1669"/>
      <c r="P14" s="1669"/>
      <c r="Q14" s="1669"/>
      <c r="R14" s="1669"/>
      <c r="S14" s="1669"/>
      <c r="T14" s="1669"/>
      <c r="U14" s="1669"/>
      <c r="V14" s="1669"/>
      <c r="W14" s="1669"/>
      <c r="X14" s="1669"/>
      <c r="Y14" s="1669"/>
      <c r="Z14" s="1669"/>
      <c r="AA14" s="1669"/>
      <c r="AB14" s="1669"/>
      <c r="AC14" s="1669"/>
      <c r="AD14" s="1669"/>
      <c r="AE14" s="1669"/>
      <c r="AF14" s="1669"/>
      <c r="AG14" s="1669"/>
      <c r="AH14" s="1669"/>
      <c r="AI14" s="1669"/>
      <c r="AJ14" s="1669"/>
      <c r="AK14" s="1669"/>
      <c r="AL14" s="1669"/>
      <c r="AM14" s="1669"/>
      <c r="AN14" s="1669"/>
      <c r="AO14" s="932"/>
      <c r="AP14" s="932"/>
      <c r="AQ14" s="932"/>
      <c r="AR14" s="932"/>
      <c r="AS14" s="932"/>
      <c r="AT14" s="932"/>
      <c r="AU14" s="933"/>
      <c r="AV14" s="933"/>
      <c r="AW14" s="933"/>
      <c r="AX14" s="934"/>
      <c r="AY14" s="934"/>
      <c r="AZ14" s="934"/>
      <c r="BA14" s="935"/>
      <c r="BB14" s="936"/>
      <c r="BC14" s="936"/>
      <c r="BD14" s="936"/>
      <c r="BE14" s="937">
        <f t="shared" ref="BE14:BE29" si="0">LEN(B14)-LEN(SUBSTITUTE(B14,IF(ISNUMBER(FIND(".",B14)),".",","),""))</f>
        <v>0</v>
      </c>
      <c r="BF14" s="920"/>
      <c r="BG14" s="938"/>
      <c r="BH14" s="934"/>
      <c r="BI14" s="587"/>
      <c r="BJ14" s="341"/>
      <c r="BK14" s="1321"/>
      <c r="BL14" s="1321"/>
      <c r="BM14" s="1321"/>
      <c r="BN14" s="1321"/>
      <c r="BO14" s="1321"/>
      <c r="BP14" s="1321"/>
      <c r="BQ14" s="1321"/>
      <c r="BR14" s="1321"/>
      <c r="BS14" s="1321"/>
      <c r="BT14" s="1321"/>
      <c r="BU14" s="1321"/>
      <c r="BV14" s="1321"/>
      <c r="BW14" s="1321"/>
      <c r="BX14" s="1321"/>
      <c r="BY14" s="1321"/>
      <c r="BZ14" s="1321"/>
      <c r="CA14" s="1321"/>
      <c r="CB14" s="1321"/>
      <c r="CC14" s="1321"/>
      <c r="CD14" s="1321"/>
      <c r="CE14" s="1321"/>
      <c r="CF14" s="1321"/>
      <c r="CG14" s="1321"/>
      <c r="CH14" s="1321"/>
      <c r="CI14" s="1321"/>
      <c r="CJ14" s="1321"/>
      <c r="CK14" s="1321"/>
    </row>
    <row r="15" spans="1:89" s="545" customFormat="1" ht="21.9" customHeight="1" thickBot="1" x14ac:dyDescent="0.3">
      <c r="A15" s="931"/>
      <c r="B15" s="1790" t="s">
        <v>1090</v>
      </c>
      <c r="C15" s="1790"/>
      <c r="D15" s="1790"/>
      <c r="E15" s="1790"/>
      <c r="F15" s="1790"/>
      <c r="G15" s="1790"/>
      <c r="H15" s="1790"/>
      <c r="I15" s="1790"/>
      <c r="J15" s="1790"/>
      <c r="K15" s="1790"/>
      <c r="L15" s="1790"/>
      <c r="M15" s="1790"/>
      <c r="N15" s="1790"/>
      <c r="O15" s="1790"/>
      <c r="P15" s="1790"/>
      <c r="Q15" s="1790"/>
      <c r="R15" s="1790"/>
      <c r="S15" s="1790"/>
      <c r="T15" s="1790"/>
      <c r="U15" s="1790"/>
      <c r="V15" s="1790"/>
      <c r="W15" s="1790"/>
      <c r="X15" s="1790"/>
      <c r="Y15" s="1790"/>
      <c r="Z15" s="1790"/>
      <c r="AA15" s="1790"/>
      <c r="AB15" s="1790"/>
      <c r="AC15" s="1790"/>
      <c r="AD15" s="1790"/>
      <c r="AE15" s="1790"/>
      <c r="AF15" s="1790"/>
      <c r="AG15" s="1790"/>
      <c r="AH15" s="1790"/>
      <c r="AI15" s="1790"/>
      <c r="AJ15" s="1790"/>
      <c r="AK15" s="1790"/>
      <c r="AL15" s="1790"/>
      <c r="AM15" s="1790"/>
      <c r="AN15" s="1790"/>
      <c r="AO15" s="939"/>
      <c r="AP15" s="939"/>
      <c r="AQ15" s="939"/>
      <c r="AR15" s="939"/>
      <c r="AS15" s="939"/>
      <c r="AT15" s="939"/>
      <c r="AU15" s="940"/>
      <c r="AV15" s="940"/>
      <c r="AW15" s="940"/>
      <c r="AX15" s="940"/>
      <c r="AY15" s="940"/>
      <c r="AZ15" s="940"/>
      <c r="BA15" s="940"/>
      <c r="BB15" s="940"/>
      <c r="BC15" s="940"/>
      <c r="BD15" s="940"/>
      <c r="BE15" s="937">
        <f t="shared" si="0"/>
        <v>0</v>
      </c>
      <c r="BF15" s="920"/>
      <c r="BG15" s="938"/>
      <c r="BH15" s="940"/>
      <c r="BI15" s="588"/>
      <c r="BJ15" s="341"/>
      <c r="BK15" s="1321"/>
      <c r="BL15" s="1321"/>
      <c r="BM15" s="1321"/>
      <c r="BN15" s="1321"/>
      <c r="BO15" s="1321"/>
      <c r="BP15" s="1321"/>
      <c r="BQ15" s="1321"/>
      <c r="BR15" s="1321"/>
      <c r="BS15" s="1321"/>
      <c r="BT15" s="1321"/>
      <c r="BU15" s="1321"/>
      <c r="BV15" s="1321"/>
      <c r="BW15" s="1321"/>
      <c r="BX15" s="1321"/>
      <c r="BY15" s="1321"/>
      <c r="BZ15" s="1321"/>
      <c r="CA15" s="1321"/>
      <c r="CB15" s="1321"/>
      <c r="CC15" s="1321"/>
      <c r="CD15" s="1321"/>
      <c r="CE15" s="1321"/>
      <c r="CF15" s="1321"/>
      <c r="CG15" s="1321"/>
      <c r="CH15" s="1321"/>
      <c r="CI15" s="1321"/>
      <c r="CJ15" s="1321"/>
      <c r="CK15" s="1321"/>
    </row>
    <row r="16" spans="1:89" s="545" customFormat="1" ht="21.9" customHeight="1" thickBot="1" x14ac:dyDescent="0.3">
      <c r="A16" s="1185">
        <f>+IF(OR(BE16=0,BE16=1),0,COUNTIF(BE$16:BE16,BE16))</f>
        <v>0</v>
      </c>
      <c r="B16" s="1143" t="s">
        <v>1157</v>
      </c>
      <c r="C16" s="1792" t="str">
        <f>+'CÁLCULO CONDUCTORES DE MT'!D17</f>
        <v>ALIMENTADOR 34,5 kV</v>
      </c>
      <c r="D16" s="1792"/>
      <c r="E16" s="1792"/>
      <c r="F16" s="1792"/>
      <c r="G16" s="1792"/>
      <c r="H16" s="1792"/>
      <c r="I16" s="1792"/>
      <c r="J16" s="1792"/>
      <c r="K16" s="1792"/>
      <c r="L16" s="1792"/>
      <c r="M16" s="1792"/>
      <c r="N16" s="1792"/>
      <c r="O16" s="1792"/>
      <c r="P16" s="1792"/>
      <c r="Q16" s="1792"/>
      <c r="R16" s="1792"/>
      <c r="S16" s="1792"/>
      <c r="T16" s="1792"/>
      <c r="U16" s="1792"/>
      <c r="V16" s="1792"/>
      <c r="W16" s="1792"/>
      <c r="X16" s="1792"/>
      <c r="Y16" s="1792"/>
      <c r="Z16" s="1792"/>
      <c r="AA16" s="1792"/>
      <c r="AB16" s="1792"/>
      <c r="AC16" s="1792"/>
      <c r="AD16" s="1792"/>
      <c r="AE16" s="1792"/>
      <c r="AF16" s="1792"/>
      <c r="AG16" s="1792"/>
      <c r="AH16" s="1792"/>
      <c r="AI16" s="1792"/>
      <c r="AJ16" s="1792"/>
      <c r="AK16" s="1792"/>
      <c r="AL16" s="1792"/>
      <c r="AM16" s="1792"/>
      <c r="AN16" s="1792"/>
      <c r="AO16" s="935"/>
      <c r="AP16" s="935"/>
      <c r="AQ16" s="935"/>
      <c r="AR16" s="935"/>
      <c r="AS16" s="935"/>
      <c r="AT16" s="935"/>
      <c r="AU16" s="941"/>
      <c r="AV16" s="941"/>
      <c r="AW16" s="941"/>
      <c r="AX16" s="941"/>
      <c r="AY16" s="941"/>
      <c r="AZ16" s="941"/>
      <c r="BA16" s="935"/>
      <c r="BB16" s="940"/>
      <c r="BC16" s="936"/>
      <c r="BD16" s="936"/>
      <c r="BE16" s="937">
        <f t="shared" si="0"/>
        <v>1</v>
      </c>
      <c r="BF16" s="942"/>
      <c r="BG16" s="938"/>
      <c r="BH16" s="941"/>
      <c r="BI16" s="587"/>
      <c r="BJ16" s="341"/>
      <c r="BK16" s="1321"/>
      <c r="BL16" s="1321"/>
      <c r="BM16" s="1321"/>
      <c r="BN16" s="1321"/>
      <c r="BO16" s="1321"/>
      <c r="BP16" s="1321"/>
      <c r="BQ16" s="1321"/>
      <c r="BR16" s="1321"/>
      <c r="BS16" s="1321"/>
      <c r="BT16" s="1321"/>
      <c r="BU16" s="1321"/>
      <c r="BV16" s="1321"/>
      <c r="BW16" s="1321"/>
      <c r="BX16" s="1321"/>
      <c r="BY16" s="1321"/>
      <c r="BZ16" s="1321"/>
      <c r="CA16" s="1321"/>
      <c r="CB16" s="1321"/>
      <c r="CC16" s="1321"/>
      <c r="CD16" s="1321"/>
      <c r="CE16" s="1321"/>
      <c r="CF16" s="1321"/>
      <c r="CG16" s="1321"/>
      <c r="CH16" s="1321"/>
      <c r="CI16" s="1321"/>
      <c r="CJ16" s="1321"/>
      <c r="CK16" s="1321"/>
    </row>
    <row r="17" spans="1:89" s="580" customFormat="1" ht="36.9" customHeight="1" thickBot="1" x14ac:dyDescent="0.3">
      <c r="A17" s="1185">
        <f>+IF(OR(BE17=0,BE17=1),0,COUNTIF(BE$16:BE17,BE17))</f>
        <v>1</v>
      </c>
      <c r="B17" s="1144" t="str">
        <f>+_xlfn.CONCAT($B$16,".",SUBTOTAL(103,$AO$17:AO17))</f>
        <v>4.1.1</v>
      </c>
      <c r="C17" s="1788" t="str">
        <f>+VLOOKUP(A17,'CÁLCULO CONDUCTORES DE MT'!$B$17:$BR$264,3,FALSE)</f>
        <v>SDT-8</v>
      </c>
      <c r="D17" s="1788"/>
      <c r="E17" s="1788"/>
      <c r="F17" s="1788" t="str">
        <f>+VLOOKUP(C17,'CÁLCULO CONDUCTORES DE MT'!$D$2:$AG$263,2,FALSE)</f>
        <v>TRANSFORMADOR DE DISTRIBUCIÓN</v>
      </c>
      <c r="G17" s="1788"/>
      <c r="H17" s="1788"/>
      <c r="I17" s="1788"/>
      <c r="J17" s="1788"/>
      <c r="K17" s="1789" t="str">
        <f>+VLOOKUP(C17,'CÁLCULO CONDUCTORES DE MT'!$D$2:$AG$263,18,FALSE)</f>
        <v>1x[3x(1x1/0 AWG)]</v>
      </c>
      <c r="L17" s="1789"/>
      <c r="M17" s="1789"/>
      <c r="N17" s="1789"/>
      <c r="O17" s="1789"/>
      <c r="P17" s="1791" t="str">
        <f>+VLOOKUP(C17,'CÁLCULO CONDUCTORES DE MT'!$D$2:$AG$263,17,FALSE)</f>
        <v>ALUMINIO, ACSR, 35 kV, Desnudo</v>
      </c>
      <c r="Q17" s="1791"/>
      <c r="R17" s="1791"/>
      <c r="S17" s="1791"/>
      <c r="T17" s="1791"/>
      <c r="U17" s="1791"/>
      <c r="V17" s="1110">
        <f>+VLOOKUP(C17,'CÁLCULO CONDUCTORES DE MT'!$D$2:$AG$269,4,FALSE)</f>
        <v>4</v>
      </c>
      <c r="W17" s="1111" t="str">
        <f>IF(AW17="AÉREO","--",IF(OR(AW17&lt;&gt;"BANDEJA",AT17="Si"),(IF((IF(MID(K17,1,1)="1",1,IF(MID(K17,1,1)="2",2,IF(MID(K17,1,1)="3",3,IF(MID(K17,1,1)="4",4,IF(MID(K17,1,1)="5",5,IF(MID(K17,1,1)="6",6,IF(MID(K17,1,1)="7",7,IF(MID(K17,1,1)="8",8,IF(MID(K17,1,1)="9",9,10))))))))))=AA17,X17,Y17/AA17)),"--"))</f>
        <v>--</v>
      </c>
      <c r="X17" s="1111" t="str">
        <f>IF(AW17="AÉREO","--",IF(OR(AW17&lt;&gt;"BANDEJA",AT17="Si"),IF(VLOOKUP(C17,'CÁLCULO CONDUCTORES DE MT'!$D$17:$BE$261,41,FALSE)="M",LOOKUP(AZ17,'CONDCUTORES MT'!$A$20:$A$28,'CONDCUTORES MT'!$X$20:$X$28),IF(VLOOKUP(C17,'CÁLCULO CONDUCTORES DE MT'!$D$17:$BE$261,7,FALSE)=34500,3*LOOKUP(AZ17,'CONDCUTORES MT'!$A$46:$A$54,'CONDCUTORES MT'!$E$46:$E$54),IF(VLOOKUP(C17,'CÁLCULO CONDUCTORES DE MT'!$D$17:$BE$261,33,FALSE)="Cable Armado",LOOKUP(AZ17,'CONDCUTORES MT'!$A$83:$A$86,'CONDCUTORES MT'!$E$83:$E$86),IF(AND(VLOOKUP(C17,'CÁLCULO CONDUCTORES DE MT'!$D$17:$BE$261,33,FALSE)="Monopolar",VLOOKUP(C17,'CÁLCULO CONDUCTORES DE MT'!$D$17:$BE$261,44,FALSE)="Si"),(3*IF(OR(VLOOKUP(C17,'CÁLCULO CONDUCTORES DE MT'!$D$17:$BE$261,7,FALSE)=11400,VLOOKUP(C17,'CÁLCULO CONDUCTORES DE MT'!$D$17:$BE$261,7,FALSE)=13200,VLOOKUP(C17,'CÁLCULO CONDUCTORES DE MT'!$D$17:$BE$261,7,FALSE)=13800),LOOKUP(AZ17,'CONDCUTORES MT'!$A$33:$A$41,'CONDCUTORES MT'!$E$33:$E$41),LOOKUP(AZ17,'CONDCUTORES MT'!$A$20:$A$28,'CONDCUTORES MT'!$E$20:$E$28)))+(LOOKUP(BA17,CONDUCTORES!$A$9:$A$23,CONDUCTORES!$F$9:$F$23)),IF(AND(VLOOKUP(C17,'CÁLCULO CONDUCTORES DE MT'!$D$17:$BE$261,33,FALSE)="Monopolar",VLOOKUP(C17,'CÁLCULO CONDUCTORES DE MT'!$D$17:$BE$261,44,FALSE)="No"),(3*IF(OR(VLOOKUP(C17,'CÁLCULO CONDUCTORES DE MT'!$D$17:$BE$261,7,FALSE)=11400,VLOOKUP(C17,'CÁLCULO CONDUCTORES DE MT'!$D$17:$BE$261,7,FALSE)=13200,VLOOKUP(C17,'CÁLCULO CONDUCTORES DE MT'!$D$17:$BE$261,7,FALSE)=13800),LOOKUP(AZ17,'CONDCUTORES MT'!$A$33:$A$41,'CONDCUTORES MT'!$E$33:$E$41),LOOKUP(AZ17,'CONDCUTORES MT'!$A$20:$A$28,'CONDCUTORES MT'!$E$20:$E$28))     ),"VERIFICAR CONDUCTOR"))))),"--"))</f>
        <v>--</v>
      </c>
      <c r="Y17" s="1111" t="str">
        <f>IF(AW17="AÉREO","--",IF(OR(AW17&lt;&gt;"BANDEJA",AT17="Si"),X17*(IF(MID(K17,1,1)="1",1,IF(MID(K17,1,1)="2",2,IF(MID(K17,1,1)="3",3,IF(MID(K17,1,1)="4",4,IF(MID(K17,1,1)="5",5,IF(MID(K17,1,1)="6",6,IF(MID(K17,1,1)="7",7,IF(MID(K17,1,1)="8",8,IF(MID(K17,1,1)="9",9,10)))))))))),"--"))</f>
        <v>--</v>
      </c>
      <c r="Z17" s="1112" t="str">
        <f>IF(AW17="AÉREO","--",IF(OR(AW17&lt;&gt;"BANDEJA",AT17="Si"),IF(AB17="--","--",VLOOKUP(BD17,CONDUITS!$A$14:$C$19,3,FALSE)),"--"))</f>
        <v>--</v>
      </c>
      <c r="AA17" s="1113" t="str">
        <f>IF(OR(AW17="BANCO DE DUCTOS",AW17="TUBO",AND(AW17="BANDEJA",AT17="SI")),AO17,"--")</f>
        <v>--</v>
      </c>
      <c r="AB17" s="1114" t="str">
        <f>IF(OR(AW17="BANCO DE DUCTOS",AW17="TUBO",AND(AW17="BANDEJA",AT17="SI")),AP17,"--")</f>
        <v>--</v>
      </c>
      <c r="AC17" s="1115" t="str">
        <f>IF(MOD(MID(K17,1,1),IF(OR(AW17="BANDEJA",AW17="AÉREO"),1,AA17))=0,IF(AW17="AÉREO","--",IF(OR(AW17&lt;&gt;"BANDEJA",AT17="Si"),IF(AB17="EMT",(W17/VLOOKUP(BD17,CONDUITS!$A$14:$W$19,7)*100),IF(AB17="IMC",(W17/VLOOKUP(BD17,CONDUITS!$A$14:$W$19,12)*100),IF(AB17="RMC",(W17/VLOOKUP(BD17,CONDUITS!$A$14:$W$19,17)*100),IF(OR(AB17="PVC",AB17="CONDUIT FLEXIBLE"),(W17/VLOOKUP(BD17,CONDUITS!$A$14:$W$19,22)*100),"--")))),"--")),"NO")</f>
        <v>--</v>
      </c>
      <c r="AD17" s="1116" t="str">
        <f>IF(AC17="NO","CAMBIAR CANTIDAD DE TUBOS",IF(AW17="AÉREO","--",IF(AND(AW17="BANDEJA",AT17&lt;&gt;"Si"),"--",CONCATENATE(IF(AA17=1,"",CONCATENATE(AA17,"-")),IF((MID(C17,1,3))="ILU","CA-","CP-"),MID(Z17,1,1),"0-",C17))))</f>
        <v>--</v>
      </c>
      <c r="AE17" s="1113" t="str">
        <f>IF(OR(AW17="BANDEJA",AT17="SI"),(IF((VLOOKUP(C17,'CÁLCULO CONDUCTORES DE MT'!$D$2:$AX$267,33,FALSE))="Monopolar",(IF((VLOOKUP(C17,'CÁLCULO CONDUCTORES DE MT'!$D$2:$AX$267,44,FALSE))="Si",(((VLOOKUP(C17,'CÁLCULO CONDUCTORES DE MT'!$D$2:$AX$267,32,FALSE))*(VLOOKUP(C17,'CÁLCULO CONDUCTORES DE MT'!$D$2:$AX$267,22,FALSE)))+(VLOOKUP(C17,'CÁLCULO CONDUCTORES DE MT'!$D$2:$AX$267,32,FALSE))),((VLOOKUP(C17,'CÁLCULO CONDUCTORES DE MT'!$D$2:$AX$267,32,FALSE))*(VLOOKUP(C17,'CÁLCULO CONDUCTORES DE MT'!$D$2:$AX$267,22,FALSE))))),IF((VLOOKUP(C17,'CÁLCULO CONDUCTORES DE MT'!$D$2:$AX$267,32,FALSE))="Cable Armado",((VLOOKUP(C17,'CÁLCULO CONDUCTORES DE MT'!$D$2:$AX$267,32,FALSE))*(VLOOKUP(C17,'CÁLCULO CONDUCTORES DE MT'!$D$2:$AX$267,22,FALSE))),MID(K17,1,1)))),"--")</f>
        <v>--</v>
      </c>
      <c r="AF17" s="1113" t="str">
        <f>IF(OR(AW17="BANDEJA",AT17="SI"),IF((VLOOKUP(C17,'CÁLCULO CONDUCTORES DE MT'!$D$2:$AX$267,33,FALSE))="Monopolar",(IF((VLOOKUP(C17,'CÁLCULO CONDUCTORES DE MT'!$D$2:$AX$267,44,FALSE))="Si",((((VLOOKUP(C17,'CÁLCULO CONDUCTORES DE MT'!$D$2:$AX$267,32,FALSE))*(VLOOKUP(C17,'CÁLCULO CONDUCTORES DE MT'!$D$2:$AX$267,22,FALSE)))*(IF(OR(VLOOKUP(C17,'CÁLCULO CONDUCTORES DE MT'!$D$17:$BE$261,7,FALSE)=2300,VLOOKUP(C17,'CÁLCULO CONDUCTORES DE MT'!$D$17:$BE$261,7,FALSE)=4160),LOOKUP(AZ17,'CONDCUTORES MT'!$A$20:$A$28,'CONDCUTORES MT'!$E$20:$E$28),IF(OR(VLOOKUP(C17,'CÁLCULO CONDUCTORES DE MT'!$D$17:$BE$261,7,FALSE)=11400,VLOOKUP(C17,'CÁLCULO CONDUCTORES DE MT'!$D$17:$BE$261,7,FALSE)=13200,VLOOKUP(C17,'CÁLCULO CONDUCTORES DE MT'!$D$17:$BE$261,7,FALSE)=13800),LOOKUP(AZ17,'CONDCUTORES MT'!$A$31:$A$41,'CONDCUTORES MT'!$E$31:$E$41),LOOKUP(AZ17,'CONDCUTORES MT'!$A$46:$A$54,'CONDCUTORES MT'!$E$46:$E$54)))))+((VLOOKUP(C17,'CÁLCULO CONDUCTORES DE MT'!$D$2:$AX$267,32,FALSE))*(LOOKUP(BA17,CONDUCTORES!$A$9:$A$62,CONDUCTORES!$F$9:$F$62)))),((AE17)*(IF(OR(VLOOKUP(C17,'CÁLCULO CONDUCTORES DE MT'!$D$17:$BE$261,7,FALSE)=2300,VLOOKUP(C17,'CÁLCULO CONDUCTORES DE MT'!$D$17:$BE$261,7,FALSE)=4160),LOOKUP(AZ17,'CONDCUTORES MT'!$A$20:$A$28,'CONDCUTORES MT'!$E$20:$E$28),IF(OR(VLOOKUP(C17,'CÁLCULO CONDUCTORES DE MT'!$D$17:$BE$261,7,FALSE)=11400,VLOOKUP(C17,'CÁLCULO CONDUCTORES DE MT'!$D$17:$BE$261,7,FALSE)=13200,VLOOKUP(C17,'CÁLCULO CONDUCTORES DE MT'!$D$17:$BE$261,7,FALSE)=13800),LOOKUP(AZ17,'CONDCUTORES MT'!$A$31:$A$41,'CONDCUTORES MT'!$E$31:$E$41),LOOKUP(AZ17,'CONDCUTORES MT'!$A$46:$A$54,'CONDCUTORES MT'!$E$46:$E$54))))))),(IF((VLOOKUP(C17,'CÁLCULO CONDUCTORES DE MT'!$D$2:$AX$267,33,FALSE))="Cable Armado",((AE17)*(LOOKUP(AZ17,'CONDCUTORES MT'!$A$83:$A$86,'CONDCUTORES MT'!$E$83:$E$86))),"N/A"))),"--")</f>
        <v>--</v>
      </c>
      <c r="AG17" s="1117" t="str">
        <f>IF(OR(AW17="BANDEJA",AT17="SI"),IF((VLOOKUP(C17,'CÁLCULO CONDUCTORES DE MT'!$D$2:$AX$267,33,FALSE))="Monopolar",(IF((VLOOKUP(C17,'CÁLCULO CONDUCTORES DE MT'!$D$2:$AX$267,44,FALSE))="Si",((((VLOOKUP(C17,'CÁLCULO CONDUCTORES DE MT'!$D$2:$AX$267,32,FALSE))*(  IF(AS17="Horizontal", VLOOKUP(C17,'CÁLCULO CONDUCTORES DE MT'!$D$2:$AX$267,22,FALSE), IF(OR(VLOOKUP(C17,'CÁLCULO CONDUCTORES DE MT'!$D$2:$AX$267,22,FALSE)=3,VLOOKUP(C17,'CÁLCULO CONDUCTORES DE MT'!$D$2:$AX$267,22,FALSE)=6,VLOOKUP(C17,'CÁLCULO CONDUCTORES DE MT'!$D$2:$AX$267,22,FALSE)=9,VLOOKUP(C17,'CÁLCULO CONDUCTORES DE MT'!$D$2:$AX$267,22,FALSE)=12,VLOOKUP(C17,'CÁLCULO CONDUCTORES DE MT'!$D$2:$AX$267,22,FALSE)=15),((VLOOKUP(C17,'CÁLCULO CONDUCTORES DE MT'!$D$2:$AX$267,22,FALSE))-((VLOOKUP(C17,'CÁLCULO CONDUCTORES DE MT'!$D$2:$AX$267,22,FALSE))/3)) ) ) ))*(IF(OR(VLOOKUP(C17,'CÁLCULO CONDUCTORES DE MT'!$D$17:$BE$261,7,FALSE)=2300,VLOOKUP(C17,'CÁLCULO CONDUCTORES DE MT'!$D$17:$BE$261,7,FALSE)=4160),LOOKUP(AZ17,'CONDCUTORES MT'!$A$20:$A$28,'CONDCUTORES MT'!$D$20:$D$28),IF(OR(VLOOKUP(C17,'CÁLCULO CONDUCTORES DE MT'!$D$17:$BE$261,7,FALSE)=11400,VLOOKUP(C17,'CÁLCULO CONDUCTORES DE MT'!$D$17:$BE$261,7,FALSE)=13200,VLOOKUP(C17,'CÁLCULO CONDUCTORES DE MT'!$D$17:$BE$261,7,FALSE)=13800),LOOKUP(AZ17,'CONDCUTORES MT'!$A$31:$A$41,'CONDCUTORES MT'!$D$31:$D$41),LOOKUP(AZ17,'CONDCUTORES MT'!$A$46:$A$54,'CONDCUTORES MT'!$D$46:$D$54)))))+((VLOOKUP(C17,'CÁLCULO CONDUCTORES DE MT'!$D$2:$AX$267,32,FALSE))*(LOOKUP(AZ17,'CONDCUTORES MT'!$A$46:$A$203,'CONDCUTORES MT'!$D$46:$D$54)))),        (((VLOOKUP(C17,'CÁLCULO CONDUCTORES DE MT'!$D$2:$AX$267,32,FALSE))*   (  IF(AS17="Horizontal", VLOOKUP(C17,'CÁLCULO CONDUCTORES DE MT'!$D$2:$AX$267,22,FALSE), IF(OR(VLOOKUP(C17,'CÁLCULO CONDUCTORES DE MT'!$D$2:$AX$267,22,FALSE)=3,VLOOKUP(C17,'CÁLCULO CONDUCTORES DE MT'!$D$2:$AX$267,22,FALSE)=6,VLOOKUP(C17,'CÁLCULO CONDUCTORES DE MT'!$D$2:$AX$267,22,FALSE)=9,VLOOKUP(C17,'CÁLCULO CONDUCTORES DE MT'!$D$2:$AX$267,22,FALSE)=12,VLOOKUP(C17,'CÁLCULO CONDUCTORES DE MT'!$D$2:$AX$267,22,FALSE)=15),((VLOOKUP(C17,'CÁLCULO CONDUCTORES DE MT'!$D$2:$AX$267,22,FALSE))-((VLOOKUP(C17,'CÁLCULO CONDUCTORES DE MT'!$D$2:$AX$267,22,FALSE))/3)) ) ) )  )*      (IF(OR(VLOOKUP(C17,'CÁLCULO CONDUCTORES DE MT'!$D$17:$BE$261,7,FALSE)=2300,VLOOKUP(C17,'CÁLCULO CONDUCTORES DE MT'!$D$17:$BE$261,7,FALSE)=4160),LOOKUP(AZ17,'CONDCUTORES MT'!$A$20:$A$28,'CONDCUTORES MT'!$D$20:$D$28),IF(OR(VLOOKUP(C17,'CÁLCULO CONDUCTORES DE MT'!$D$17:$BE$261,7,FALSE)=11400,VLOOKUP(C17,'CÁLCULO CONDUCTORES DE MT'!$D$17:$BE$261,7,FALSE)=13200,VLOOKUP(C17,'CÁLCULO CONDUCTORES DE MT'!$D$17:$BE$261,7,FALSE)=13800),LOOKUP(AZ17,'CONDCUTORES MT'!$A$31:$A$41,'CONDCUTORES MT'!$D$31:$D$41),LOOKUP(AZ17,'CONDCUTORES MT'!$A$46:$A$54,'CONDCUTORES MT'!$D$46:$D$54))))      ))),(MID(K17,1,1))*(LOOKUP(AZ17,'CONDCUTORES MT'!$A$83:$A$86,'CONDCUTORES MT'!$D$83:$D$86))),"--")</f>
        <v>--</v>
      </c>
      <c r="AH17" s="1117" t="str">
        <f>IF(AV17="SI","N/A",(IF(OR(AW17="BANDEJA",AT17="SI"),SUMIF($AN$14:$AN$36,AN17,$AG$14:$AG$36),"--")))</f>
        <v>--</v>
      </c>
      <c r="AI17" s="1117" t="str">
        <f>IF(AND(OR(AW17="BANCO DE DUCTOS",AW17="TUBO",AW17="AÉREO"),AT17="No"),"--",AQ17)</f>
        <v>--</v>
      </c>
      <c r="AJ17" s="1118" t="str">
        <f>IF(OR(AW17="BANDEJA",AT17="SI"),IF(BB17="  ","--",IF(AU17="Monopolar",BB17,IF(AU17="Multiconductor",BC17,"--"))),"--")</f>
        <v>--</v>
      </c>
      <c r="AK17" s="1119" t="str">
        <f>IF(OR(AW17="BANDEJA",AT17="Si"),IF(BB17="  ","--",SUMIF($AN$2:$AN$36,AN17,$AJ$2:$AJ$36)),"--")</f>
        <v>--</v>
      </c>
      <c r="AL17" s="1118" t="str">
        <f>IF(OR(AW17="BANDEJA",AT17="SI"),IF(BB17="  ","--",100-AK17),"--")</f>
        <v>--</v>
      </c>
      <c r="AM17" s="1118" t="str">
        <f>IF(OR(AW17="BANDEJA",AT17="SI"),"2/0 AWG","--")</f>
        <v>--</v>
      </c>
      <c r="AN17" s="1120" t="str">
        <f>IF(OR(AW17="BANDEJA",AT17="SI"),CONCATENATE("E-",AI17,"-15-M-",AR17),"--")</f>
        <v>--</v>
      </c>
      <c r="AO17" s="901">
        <v>1</v>
      </c>
      <c r="AP17" s="943" t="s">
        <v>648</v>
      </c>
      <c r="AQ17" s="944" t="s">
        <v>624</v>
      </c>
      <c r="AR17" s="945" t="s">
        <v>629</v>
      </c>
      <c r="AS17" s="945" t="s">
        <v>1158</v>
      </c>
      <c r="AT17" s="906" t="s">
        <v>605</v>
      </c>
      <c r="AU17" s="946" t="s">
        <v>599</v>
      </c>
      <c r="AV17" s="906" t="s">
        <v>605</v>
      </c>
      <c r="AW17" s="946" t="str">
        <f>+VLOOKUP(C17,'CÁLCULO CONDUCTORES DE MT'!$D$2:$AG$263,21,FALSE)</f>
        <v>AÉREO</v>
      </c>
      <c r="AX17" s="903" t="str">
        <f>+VLOOKUP(C17,'CÁLCULO CONDUCTORES DE MT'!$D$2:$BE$263,31,FALSE)</f>
        <v>1/0 AWG</v>
      </c>
      <c r="AY17" s="947" t="str">
        <f>IF((VLOOKUP(C17,'CÁLCULO CONDUCTORES DE MT'!$D$2:$BE$263,47,FALSE))="No",LOOKUP((IF(VLOOKUP(C17,'CÁLCULO CONDUCTORES DE MT'!$D$2:$BE$263,15,FALSE)="VER NOTAS",15,VLOOKUP(C17,'CÁLCULO CONDUCTORES DE MT'!$D$2:$BE$263,15,FALSE))),CONDUCTORES!$A$111:$A$131,IF(VLOOKUP(C17,'CÁLCULO CONDUCTORES DE MT'!$D$2:$BE$263,35,FALSE)="Cu",CONDUCTORES!$B$111:$B$131,CONDUCTORES!$C$111:$C$131)),VLOOKUP(C17,'CÁLCULO CONDUCTORES DE MT'!$D$2:$BE$263,47,FALSE))</f>
        <v>10 AWG</v>
      </c>
      <c r="AZ17" s="948">
        <f>VLOOKUP(C17,'CÁLCULO CONDUCTORES DE MT'!$D$2:$BS$263,58,FALSE)</f>
        <v>16</v>
      </c>
      <c r="BA17" s="947" t="str">
        <f>IF((VLOOKUP(C17,'CÁLCULO CONDUCTORES DE MT'!$D$2:$BS$263,33,FALSE))="Monopolar",VLOOKUP(AY17,CONDUCTORES!$B$9:$X$23,23,FALSE)," ")</f>
        <v xml:space="preserve"> </v>
      </c>
      <c r="BB17" s="949" t="str">
        <f>IF(OR(AW17="BANDEJA",AT17="Si"),IF(AI17="--","  ",IF(OR(AZ17&lt;=10,BA17&lt;=10),(BF17*100)/(AI17*15),(AF17/(VLOOKUP(AI17,CONDUITS!$A$25:$B$37,2,FALSE)))*100)),"  ")</f>
        <v xml:space="preserve">  </v>
      </c>
      <c r="BC17" s="949" t="str">
        <f>IF(ISERROR(IF(OR(AW17="BANDEJA",AT17="Si"),IF(AI17="--","  ",((AF17)/(VLOOKUP(AI17,CONDUITS!$A$25:$C$37,3,FALSE)))*100),"  "))=TRUE,"",IF(OR(AW17="BANDEJA",AT17="Si"),IF(AI17="--","  ",((AF17)/(VLOOKUP(AI17,CONDUITS!$A$25:$C$37,3,FALSE)))*100),"  "))</f>
        <v xml:space="preserve">  </v>
      </c>
      <c r="BD17" s="950">
        <v>10</v>
      </c>
      <c r="BE17" s="937">
        <f t="shared" si="0"/>
        <v>2</v>
      </c>
      <c r="BF17" s="942" t="str">
        <f>IF(OR(AW17="BANDEJA",AT17="SI"),IF((VLOOKUP(C17,'CÁLCULO CONDUCTORES DE MT'!$D$2:$AX$267,33,FALSE))="Monopolar",(IF((VLOOKUP(C17,'CÁLCULO CONDUCTORES DE MT'!$D$2:$AX$267,44,FALSE))="Si",((((VLOOKUP(C17,'CÁLCULO CONDUCTORES DE MT'!$D$2:$AX$267,32,FALSE))*(  VLOOKUP(C17,'CÁLCULO CONDUCTORES DE MT'!$D$2:$AX$267,22,FALSE)))*(IF(OR(VLOOKUP(C17,'CÁLCULO CONDUCTORES DE MT'!$D$17:$BE$261,7,FALSE)=2300,VLOOKUP(C17,'CÁLCULO CONDUCTORES DE MT'!$D$17:$BE$261,7,FALSE)=4160),LOOKUP(AZ17,'CONDCUTORES MT'!$A$20:$A$28,'CONDCUTORES MT'!$D$20:$D$28),IF(OR(VLOOKUP(C17,'CÁLCULO CONDUCTORES DE MT'!$D$17:$BE$261,7,FALSE)=11400,VLOOKUP(C17,'CÁLCULO CONDUCTORES DE MT'!$D$17:$BE$261,7,FALSE)=13200,VLOOKUP(C17,'CÁLCULO CONDUCTORES DE MT'!$D$17:$BE$261,7,FALSE)=13800),LOOKUP(AZ17,'CONDCUTORES MT'!$A$31:$A$41,'CONDCUTORES MT'!$D$31:$D$41),LOOKUP(AZ17,'CONDCUTORES MT'!$A$46:$A$54,'CONDCUTORES MT'!$D$46:$D$54)))))+((VLOOKUP(C17,'CÁLCULO CONDUCTORES DE MT'!$D$2:$AX$267,32,FALSE))*(LOOKUP(AZ17,'CONDCUTORES MT'!$A$46:$A$203,'CONDCUTORES MT'!$D$46:$D$54)))),        (((VLOOKUP(C17,'CÁLCULO CONDUCTORES DE MT'!$D$2:$AX$267,32,FALSE))*   (  VLOOKUP(C17,'CÁLCULO CONDUCTORES DE MT'!$D$2:$AX$267,22,FALSE))  )*      (IF(OR(VLOOKUP(C17,'CÁLCULO CONDUCTORES DE MT'!$D$17:$BE$261,7,FALSE)=2300,VLOOKUP(C17,'CÁLCULO CONDUCTORES DE MT'!$D$17:$BE$261,7,FALSE)=4160),LOOKUP(AZ17,'CONDCUTORES MT'!$A$20:$A$28,'CONDCUTORES MT'!$D$20:$D$28),IF(OR(VLOOKUP(C17,'CÁLCULO CONDUCTORES DE MT'!$D$17:$BE$261,7,FALSE)=11400,VLOOKUP(C17,'CÁLCULO CONDUCTORES DE MT'!$D$17:$BE$261,7,FALSE)=13200,VLOOKUP(C17,'CÁLCULO CONDUCTORES DE MT'!$D$17:$BE$261,7,FALSE)=13800),LOOKUP(AZ17,'CONDCUTORES MT'!$A$31:$A$41,'CONDCUTORES MT'!$D$31:$D$41),LOOKUP(AZ17,'CONDCUTORES MT'!$A$46:$A$54,'CONDCUTORES MT'!$D$46:$D$54))))      ))),(MID(K17,1,1))*(LOOKUP(AZ17,'CONDCUTORES MT'!$A$83:$A$86,'CONDCUTORES MT'!$D$83:$D$86))),"--")</f>
        <v>--</v>
      </c>
      <c r="BG17" s="951"/>
      <c r="BH17" s="952" t="s">
        <v>624</v>
      </c>
      <c r="BI17" s="1318"/>
      <c r="BJ17" s="464"/>
      <c r="BK17" s="1322"/>
      <c r="BL17" s="1322"/>
      <c r="BM17" s="1322"/>
      <c r="BN17" s="1322"/>
      <c r="BO17" s="1322"/>
      <c r="BP17" s="1322"/>
      <c r="BQ17" s="1322"/>
      <c r="BR17" s="1322"/>
      <c r="BS17" s="1322"/>
      <c r="BT17" s="1322"/>
      <c r="BU17" s="1322"/>
      <c r="BV17" s="1322"/>
      <c r="BW17" s="1322"/>
      <c r="BX17" s="1322"/>
      <c r="BY17" s="1322"/>
      <c r="BZ17" s="1322"/>
      <c r="CA17" s="1322"/>
      <c r="CB17" s="1322"/>
      <c r="CC17" s="1322"/>
      <c r="CD17" s="1322"/>
      <c r="CE17" s="1322"/>
      <c r="CF17" s="1322"/>
      <c r="CG17" s="1322"/>
      <c r="CH17" s="1322"/>
      <c r="CI17" s="1322"/>
      <c r="CJ17" s="1322"/>
      <c r="CK17" s="1322"/>
    </row>
    <row r="18" spans="1:89" s="545" customFormat="1" ht="16.2" hidden="1" thickBot="1" x14ac:dyDescent="0.3">
      <c r="A18" s="1185">
        <f>+IF(OR(BE18=0,BE18=1),0,COUNTIF(BE$16:BE18,BE18))</f>
        <v>0</v>
      </c>
      <c r="B18" s="1143" t="s">
        <v>1159</v>
      </c>
      <c r="C18" s="1841" t="s">
        <v>606</v>
      </c>
      <c r="D18" s="1842"/>
      <c r="E18" s="1842"/>
      <c r="F18" s="1842"/>
      <c r="G18" s="1842"/>
      <c r="H18" s="1842"/>
      <c r="I18" s="1842"/>
      <c r="J18" s="1842"/>
      <c r="K18" s="1842"/>
      <c r="L18" s="1842"/>
      <c r="M18" s="1842"/>
      <c r="N18" s="1842"/>
      <c r="O18" s="1842"/>
      <c r="P18" s="1842"/>
      <c r="Q18" s="1842"/>
      <c r="R18" s="1842"/>
      <c r="S18" s="1842"/>
      <c r="T18" s="1842"/>
      <c r="U18" s="1842"/>
      <c r="V18" s="1842"/>
      <c r="W18" s="1842"/>
      <c r="X18" s="1842"/>
      <c r="Y18" s="1842"/>
      <c r="Z18" s="1842"/>
      <c r="AA18" s="1842"/>
      <c r="AB18" s="1842"/>
      <c r="AC18" s="1842"/>
      <c r="AD18" s="1842"/>
      <c r="AE18" s="1842"/>
      <c r="AF18" s="1842"/>
      <c r="AG18" s="1842"/>
      <c r="AH18" s="1842"/>
      <c r="AI18" s="1842"/>
      <c r="AJ18" s="1842"/>
      <c r="AK18" s="1842"/>
      <c r="AL18" s="1842"/>
      <c r="AM18" s="1842"/>
      <c r="AN18" s="1843"/>
      <c r="AO18" s="935"/>
      <c r="AP18" s="935"/>
      <c r="AQ18" s="935"/>
      <c r="AR18" s="935">
        <v>1</v>
      </c>
      <c r="AS18" s="935"/>
      <c r="AT18" s="935"/>
      <c r="AU18" s="941"/>
      <c r="AV18" s="941"/>
      <c r="AW18" s="941"/>
      <c r="AX18" s="941"/>
      <c r="AY18" s="941"/>
      <c r="AZ18" s="941"/>
      <c r="BA18" s="935"/>
      <c r="BB18" s="940"/>
      <c r="BC18" s="936"/>
      <c r="BD18" s="936"/>
      <c r="BE18" s="937">
        <f t="shared" si="0"/>
        <v>1</v>
      </c>
      <c r="BF18" s="942"/>
      <c r="BG18" s="938"/>
      <c r="BH18" s="941"/>
      <c r="BI18" s="587"/>
      <c r="BJ18" s="341"/>
      <c r="BK18" s="1321"/>
      <c r="BL18" s="1321"/>
      <c r="BM18" s="1321"/>
      <c r="BN18" s="1321"/>
      <c r="BO18" s="1321"/>
      <c r="BP18" s="1321"/>
      <c r="BQ18" s="1321"/>
      <c r="BR18" s="1321"/>
      <c r="BS18" s="1321"/>
      <c r="BT18" s="1321"/>
      <c r="BU18" s="1321"/>
      <c r="BV18" s="1321"/>
      <c r="BW18" s="1321"/>
      <c r="BX18" s="1321"/>
      <c r="BY18" s="1321"/>
      <c r="BZ18" s="1321"/>
      <c r="CA18" s="1321"/>
      <c r="CB18" s="1321"/>
      <c r="CC18" s="1321"/>
      <c r="CD18" s="1321"/>
      <c r="CE18" s="1321"/>
      <c r="CF18" s="1321"/>
      <c r="CG18" s="1321"/>
      <c r="CH18" s="1321"/>
      <c r="CI18" s="1321"/>
      <c r="CJ18" s="1321"/>
      <c r="CK18" s="1321"/>
    </row>
    <row r="19" spans="1:89" s="580" customFormat="1" ht="32.1" hidden="1" customHeight="1" x14ac:dyDescent="0.25">
      <c r="A19" s="1185">
        <v>4</v>
      </c>
      <c r="B19" s="1144" t="str">
        <f>+_xlfn.CONCAT($B$18,".",SUBTOTAL(103,$AO$19:AO19))</f>
        <v>4.2.0</v>
      </c>
      <c r="C19" s="1844" t="e">
        <f>+VLOOKUP(A19,'CÁLCULO CONDUCTORES DE MT'!$B$17:$BR$264,3,FALSE)</f>
        <v>#N/A</v>
      </c>
      <c r="D19" s="1845"/>
      <c r="E19" s="1846"/>
      <c r="F19" s="1844" t="e">
        <f>+VLOOKUP(C19,'CÁLCULO CONDUCTORES DE MT'!$D$2:$AG$263,2,FALSE)</f>
        <v>#N/A</v>
      </c>
      <c r="G19" s="1845"/>
      <c r="H19" s="1845"/>
      <c r="I19" s="1845"/>
      <c r="J19" s="1846"/>
      <c r="K19" s="1850" t="e">
        <f>+VLOOKUP(C19,'CÁLCULO CONDUCTORES DE MT'!$D$2:$AG$263,18,FALSE)</f>
        <v>#N/A</v>
      </c>
      <c r="L19" s="1851"/>
      <c r="M19" s="1851"/>
      <c r="N19" s="1851"/>
      <c r="O19" s="1852"/>
      <c r="P19" s="1847"/>
      <c r="Q19" s="1848"/>
      <c r="R19" s="1848"/>
      <c r="S19" s="1848"/>
      <c r="T19" s="1848"/>
      <c r="U19" s="1849"/>
      <c r="V19" s="1110" t="e">
        <f>+VLOOKUP(C19,'CÁLCULO CONDUCTORES DE MT'!$D$2:$AG$269,4,FALSE)</f>
        <v>#N/A</v>
      </c>
      <c r="W19" s="1111" t="e">
        <f t="shared" ref="W19:W25" si="1">IF(AW19="AÉREO","--",IF(OR(AW19&lt;&gt;"BANDEJA",AT19="Si"),(IF((IF(MID(K19,1,1)="1",1,IF(MID(K19,1,1)="2",2,IF(MID(K19,1,1)="3",3,IF(MID(K19,1,1)="4",4,IF(MID(K19,1,1)="5",5,IF(MID(K19,1,1)="6",6,IF(MID(K19,1,1)="7",7,IF(MID(K19,1,1)="8",8,IF(MID(K19,1,1)="9",9,10))))))))))=AA19,X19,Y19/AA19)),"--"))</f>
        <v>#N/A</v>
      </c>
      <c r="X19" s="1111" t="e">
        <f>IF(AW19="AÉREO","--",IF(OR(AW19&lt;&gt;"BANDEJA",AT19="Si"),IF(VLOOKUP(C19,'CÁLCULO CONDUCTORES DE MT'!$D$17:$BE$261,41,FALSE)="M",LOOKUP(AZ19,'CONDCUTORES MT'!$A$20:$A$28,'CONDCUTORES MT'!$X$20:$X$28),IF(VLOOKUP(C19,'CÁLCULO CONDUCTORES DE MT'!$D$17:$BE$261,7,FALSE)=34500,3*LOOKUP(AZ19,'CONDCUTORES MT'!$A$46:$A$54,'CONDCUTORES MT'!$E$46:$E$54),IF(VLOOKUP(C19,'CÁLCULO CONDUCTORES DE MT'!$D$17:$BE$261,33,FALSE)="Cable Armado",LOOKUP(AZ19,'CONDCUTORES MT'!$A$83:$A$86,'CONDCUTORES MT'!$E$83:$E$86),IF(AND(VLOOKUP(C19,'CÁLCULO CONDUCTORES DE MT'!$D$17:$BE$261,33,FALSE)="Monopolar",VLOOKUP(C19,'CÁLCULO CONDUCTORES DE MT'!$D$17:$BE$261,44,FALSE)="Si"),(3*IF(OR(VLOOKUP(C19,'CÁLCULO CONDUCTORES DE MT'!$D$17:$BE$261,7,FALSE)=11400,VLOOKUP(C19,'CÁLCULO CONDUCTORES DE MT'!$D$17:$BE$261,7,FALSE)=13200,VLOOKUP(C19,'CÁLCULO CONDUCTORES DE MT'!$D$17:$BE$261,7,FALSE)=13800),LOOKUP(AZ19,'CONDCUTORES MT'!$A$33:$A$41,'CONDCUTORES MT'!$E$33:$E$41),LOOKUP(AZ19,'CONDCUTORES MT'!$A$20:$A$28,'CONDCUTORES MT'!$E$20:$E$28)))+(LOOKUP(BA19,CONDUCTORES!$A$9:$A$23,CONDUCTORES!$F$9:$F$23)),IF(AND(VLOOKUP(C19,'CÁLCULO CONDUCTORES DE MT'!$D$17:$BE$261,33,FALSE)="Monopolar",VLOOKUP(C19,'CÁLCULO CONDUCTORES DE MT'!$D$17:$BE$261,44,FALSE)="No"),(3*IF(OR(VLOOKUP(C19,'CÁLCULO CONDUCTORES DE MT'!$D$17:$BE$261,7,FALSE)=11400,VLOOKUP(C19,'CÁLCULO CONDUCTORES DE MT'!$D$17:$BE$261,7,FALSE)=13200,VLOOKUP(C19,'CÁLCULO CONDUCTORES DE MT'!$D$17:$BE$261,7,FALSE)=13800),LOOKUP(AZ19,'CONDCUTORES MT'!$A$33:$A$41,'CONDCUTORES MT'!$E$33:$E$41),LOOKUP(AZ19,'CONDCUTORES MT'!$A$20:$A$28,'CONDCUTORES MT'!$E$20:$E$28))     ),"VERIFICAR CONDUCTOR"))))),"--"))</f>
        <v>#N/A</v>
      </c>
      <c r="Y19" s="1111" t="e">
        <f t="shared" ref="Y19:Y25" si="2">IF(AW19="AÉREO","--",IF(OR(AW19&lt;&gt;"BANDEJA",AT19="Si"),X19*(IF(MID(K19,1,1)="1",1,IF(MID(K19,1,1)="2",2,IF(MID(K19,1,1)="3",3,IF(MID(K19,1,1)="4",4,IF(MID(K19,1,1)="5",5,IF(MID(K19,1,1)="6",6,IF(MID(K19,1,1)="7",7,IF(MID(K19,1,1)="8",8,IF(MID(K19,1,1)="9",9,10)))))))))),"--"))</f>
        <v>#N/A</v>
      </c>
      <c r="Z19" s="1112" t="e">
        <f>IF(AW19="AÉREO","--",IF(OR(AW19&lt;&gt;"BANDEJA",AT19="Si"),IF(AB19="--","--",VLOOKUP(BD19,CONDUITS!$A$14:$C$19,3,FALSE)),"--"))</f>
        <v>#N/A</v>
      </c>
      <c r="AA19" s="1113" t="e">
        <f t="shared" ref="AA19:AA25" si="3">IF(OR(AW19="BANCO DE DUCTOS",AW19="TUBO",AND(AW19="BANDEJA",AT19="SI")),AO19,"--")</f>
        <v>#N/A</v>
      </c>
      <c r="AB19" s="1114" t="e">
        <f t="shared" ref="AB19:AB25" si="4">IF(OR(AW19="BANCO DE DUCTOS",AW19="TUBO",AND(AW19="BANDEJA",AT19="SI")),AP19,"--")</f>
        <v>#N/A</v>
      </c>
      <c r="AC19" s="1115" t="e">
        <f>IF(MOD(MID(K19,1,1),IF(OR(AW19="BANDEJA",AW19="AÉREO"),1,AA19))=0,IF(AW19="AÉREO","--",IF(OR(AW19&lt;&gt;"BANDEJA",AT19="Si"),IF(AB19="EMT",(W19/VLOOKUP(BD19,CONDUITS!$A$14:$W$19,7)*100),IF(AB19="IMC",(W19/VLOOKUP(BD19,CONDUITS!$A$14:$W$19,12)*100),IF(AB19="RMC",(W19/VLOOKUP(BD19,CONDUITS!$A$14:$W$19,17)*100),IF(OR(AB19="PVC",AB19="CONDUIT FLEXIBLE"),(W19/VLOOKUP(BD19,CONDUITS!$A$14:$W$19,22)*100),"--")))),"--")),"NO")</f>
        <v>#N/A</v>
      </c>
      <c r="AD19" s="1116" t="e">
        <f t="shared" ref="AD19:AD25" si="5">IF(AC19="NO","CAMBIAR CANTIDAD DE TUBOS",IF(AW19="AÉREO","--",IF(AND(AW19="BANDEJA",AT19&lt;&gt;"Si"),"--",CONCATENATE(IF(AA19=1,"",CONCATENATE(AA19,"-")),IF((MID(C19,1,3))="ILU","CA-","CP-"),MID(Z19,1,1),"0-",C19))))</f>
        <v>#N/A</v>
      </c>
      <c r="AE19" s="1113" t="e">
        <f>IF(OR(AW19="BANDEJA",AT19="SI"),(IF((VLOOKUP(C19,'CÁLCULO CONDUCTORES DE MT'!$D$2:$AX$267,33,FALSE))="Monopolar",(IF((VLOOKUP(C19,'CÁLCULO CONDUCTORES DE MT'!$D$2:$AX$267,44,FALSE))="Si",(((VLOOKUP(C19,'CÁLCULO CONDUCTORES DE MT'!$D$2:$AX$267,32,FALSE))*(VLOOKUP(C19,'CÁLCULO CONDUCTORES DE MT'!$D$2:$AX$267,22,FALSE)))+(VLOOKUP(C19,'CÁLCULO CONDUCTORES DE MT'!$D$2:$AX$267,32,FALSE))),((VLOOKUP(C19,'CÁLCULO CONDUCTORES DE MT'!$D$2:$AX$267,32,FALSE))*(VLOOKUP(C19,'CÁLCULO CONDUCTORES DE MT'!$D$2:$AX$267,22,FALSE))))),IF((VLOOKUP(C19,'CÁLCULO CONDUCTORES DE MT'!$D$2:$AX$267,32,FALSE))="Cable Armado",((VLOOKUP(C19,'CÁLCULO CONDUCTORES DE MT'!$D$2:$AX$267,32,FALSE))*(VLOOKUP(C19,'CÁLCULO CONDUCTORES DE MT'!$D$2:$AX$267,22,FALSE))),MID(K19,1,1)))),"--")</f>
        <v>#N/A</v>
      </c>
      <c r="AF19" s="1113" t="e">
        <f>IF(OR(AW19="BANDEJA",AT19="SI"),IF((VLOOKUP(C19,'CÁLCULO CONDUCTORES DE MT'!$D$2:$AX$267,33,FALSE))="Monopolar",(IF((VLOOKUP(C19,'CÁLCULO CONDUCTORES DE MT'!$D$2:$AX$267,44,FALSE))="Si",((((VLOOKUP(C19,'CÁLCULO CONDUCTORES DE MT'!$D$2:$AX$267,32,FALSE))*(VLOOKUP(C19,'CÁLCULO CONDUCTORES DE MT'!$D$2:$AX$267,22,FALSE)))*(IF(OR(VLOOKUP(C19,'CÁLCULO CONDUCTORES DE MT'!$D$17:$BE$261,7,FALSE)=2300,VLOOKUP(C19,'CÁLCULO CONDUCTORES DE MT'!$D$17:$BE$261,7,FALSE)=4160),LOOKUP(AZ19,'CONDCUTORES MT'!$A$20:$A$28,'CONDCUTORES MT'!$E$20:$E$28),IF(OR(VLOOKUP(C19,'CÁLCULO CONDUCTORES DE MT'!$D$17:$BE$261,7,FALSE)=11400,VLOOKUP(C19,'CÁLCULO CONDUCTORES DE MT'!$D$17:$BE$261,7,FALSE)=13200,VLOOKUP(C19,'CÁLCULO CONDUCTORES DE MT'!$D$17:$BE$261,7,FALSE)=13800),LOOKUP(AZ19,'CONDCUTORES MT'!$A$31:$A$41,'CONDCUTORES MT'!$E$31:$E$41),LOOKUP(AZ19,'CONDCUTORES MT'!$A$46:$A$54,'CONDCUTORES MT'!$E$46:$E$54)))))+((VLOOKUP(C19,'CÁLCULO CONDUCTORES DE MT'!$D$2:$AX$267,32,FALSE))*(LOOKUP(BA19,CONDUCTORES!$A$9:$A$62,CONDUCTORES!$F$9:$F$62)))),((AE19)*(IF(OR(VLOOKUP(C19,'CÁLCULO CONDUCTORES DE MT'!$D$17:$BE$261,7,FALSE)=2300,VLOOKUP(C19,'CÁLCULO CONDUCTORES DE MT'!$D$17:$BE$261,7,FALSE)=4160),LOOKUP(AZ19,'CONDCUTORES MT'!$A$20:$A$28,'CONDCUTORES MT'!$E$20:$E$28),IF(OR(VLOOKUP(C19,'CÁLCULO CONDUCTORES DE MT'!$D$17:$BE$261,7,FALSE)=11400,VLOOKUP(C19,'CÁLCULO CONDUCTORES DE MT'!$D$17:$BE$261,7,FALSE)=13200,VLOOKUP(C19,'CÁLCULO CONDUCTORES DE MT'!$D$17:$BE$261,7,FALSE)=13800),LOOKUP(AZ19,'CONDCUTORES MT'!$A$31:$A$41,'CONDCUTORES MT'!$E$31:$E$41),LOOKUP(AZ19,'CONDCUTORES MT'!$A$46:$A$54,'CONDCUTORES MT'!$E$46:$E$54))))))),(IF((VLOOKUP(C19,'CÁLCULO CONDUCTORES DE MT'!$D$2:$AX$267,33,FALSE))="Cable Armado",((AE19)*(LOOKUP(AZ19,'CONDCUTORES MT'!$A$83:$A$86,'CONDCUTORES MT'!$E$83:$E$86))),"N/A"))),"--")</f>
        <v>#N/A</v>
      </c>
      <c r="AG19" s="1117" t="e">
        <f>IF(OR(AW19="BANDEJA",AT19="SI"),IF((VLOOKUP(C19,'CÁLCULO CONDUCTORES DE MT'!$D$2:$AX$267,33,FALSE))="Monopolar",(IF((VLOOKUP(C19,'CÁLCULO CONDUCTORES DE MT'!$D$2:$AX$267,44,FALSE))="Si",((((VLOOKUP(C19,'CÁLCULO CONDUCTORES DE MT'!$D$2:$AX$267,32,FALSE))*(  IF(AS19="Horizontal", VLOOKUP(C19,'CÁLCULO CONDUCTORES DE MT'!$D$2:$AX$267,22,FALSE), IF(OR(VLOOKUP(C19,'CÁLCULO CONDUCTORES DE MT'!$D$2:$AX$267,22,FALSE)=3,VLOOKUP(C19,'CÁLCULO CONDUCTORES DE MT'!$D$2:$AX$267,22,FALSE)=6,VLOOKUP(C19,'CÁLCULO CONDUCTORES DE MT'!$D$2:$AX$267,22,FALSE)=9,VLOOKUP(C19,'CÁLCULO CONDUCTORES DE MT'!$D$2:$AX$267,22,FALSE)=12,VLOOKUP(C19,'CÁLCULO CONDUCTORES DE MT'!$D$2:$AX$267,22,FALSE)=15),((VLOOKUP(C19,'CÁLCULO CONDUCTORES DE MT'!$D$2:$AX$267,22,FALSE))-((VLOOKUP(C19,'CÁLCULO CONDUCTORES DE MT'!$D$2:$AX$267,22,FALSE))/3)) ) ) ))*(IF(OR(VLOOKUP(C19,'CÁLCULO CONDUCTORES DE MT'!$D$17:$BE$261,7,FALSE)=2300,VLOOKUP(C19,'CÁLCULO CONDUCTORES DE MT'!$D$17:$BE$261,7,FALSE)=4160),LOOKUP(AZ19,'CONDCUTORES MT'!$A$20:$A$28,'CONDCUTORES MT'!$D$20:$D$28),IF(OR(VLOOKUP(C19,'CÁLCULO CONDUCTORES DE MT'!$D$17:$BE$261,7,FALSE)=11400,VLOOKUP(C19,'CÁLCULO CONDUCTORES DE MT'!$D$17:$BE$261,7,FALSE)=13200,VLOOKUP(C19,'CÁLCULO CONDUCTORES DE MT'!$D$17:$BE$261,7,FALSE)=13800),LOOKUP(AZ19,'CONDCUTORES MT'!$A$31:$A$41,'CONDCUTORES MT'!$D$31:$D$41),LOOKUP(AZ19,'CONDCUTORES MT'!$A$46:$A$54,'CONDCUTORES MT'!$D$46:$D$54)))))+((VLOOKUP(C19,'CÁLCULO CONDUCTORES DE MT'!$D$2:$AX$267,32,FALSE))*(LOOKUP(AZ19,'CONDCUTORES MT'!$A$46:$A$203,'CONDCUTORES MT'!$D$46:$D$54)))),        (((VLOOKUP(C19,'CÁLCULO CONDUCTORES DE MT'!$D$2:$AX$267,32,FALSE))*   (  IF(AS19="Horizontal", VLOOKUP(C19,'CÁLCULO CONDUCTORES DE MT'!$D$2:$AX$267,22,FALSE), IF(OR(VLOOKUP(C19,'CÁLCULO CONDUCTORES DE MT'!$D$2:$AX$267,22,FALSE)=3,VLOOKUP(C19,'CÁLCULO CONDUCTORES DE MT'!$D$2:$AX$267,22,FALSE)=6,VLOOKUP(C19,'CÁLCULO CONDUCTORES DE MT'!$D$2:$AX$267,22,FALSE)=9,VLOOKUP(C19,'CÁLCULO CONDUCTORES DE MT'!$D$2:$AX$267,22,FALSE)=12,VLOOKUP(C19,'CÁLCULO CONDUCTORES DE MT'!$D$2:$AX$267,22,FALSE)=15),((VLOOKUP(C19,'CÁLCULO CONDUCTORES DE MT'!$D$2:$AX$267,22,FALSE))-((VLOOKUP(C19,'CÁLCULO CONDUCTORES DE MT'!$D$2:$AX$267,22,FALSE))/3)) ) ) )  )*      (IF(OR(VLOOKUP(C19,'CÁLCULO CONDUCTORES DE MT'!$D$17:$BE$261,7,FALSE)=2300,VLOOKUP(C19,'CÁLCULO CONDUCTORES DE MT'!$D$17:$BE$261,7,FALSE)=4160),LOOKUP(AZ19,'CONDCUTORES MT'!$A$20:$A$28,'CONDCUTORES MT'!$D$20:$D$28),IF(OR(VLOOKUP(C19,'CÁLCULO CONDUCTORES DE MT'!$D$17:$BE$261,7,FALSE)=11400,VLOOKUP(C19,'CÁLCULO CONDUCTORES DE MT'!$D$17:$BE$261,7,FALSE)=13200,VLOOKUP(C19,'CÁLCULO CONDUCTORES DE MT'!$D$17:$BE$261,7,FALSE)=13800),LOOKUP(AZ19,'CONDCUTORES MT'!$A$31:$A$41,'CONDCUTORES MT'!$D$31:$D$41),LOOKUP(AZ19,'CONDCUTORES MT'!$A$46:$A$54,'CONDCUTORES MT'!$D$46:$D$54))))      ))),(MID(K19,1,1))*(LOOKUP(AZ19,'CONDCUTORES MT'!$A$83:$A$86,'CONDCUTORES MT'!$D$83:$D$86))),"--")</f>
        <v>#N/A</v>
      </c>
      <c r="AH19" s="1117" t="e">
        <f t="shared" ref="AH19:AH25" si="6">IF(AV19="SI","N/A",(IF(OR(AW19="BANDEJA",AT19="SI"),SUMIF($AN$14:$AN$36,AN19,$AG$14:$AG$36),"--")))</f>
        <v>#N/A</v>
      </c>
      <c r="AI19" s="1117" t="e">
        <f t="shared" ref="AI19:AI25" si="7">IF(AND(OR(AW19="BANCO DE DUCTOS",AW19="TUBO",AW19="AÉREO"),AT19="No"),"--",AQ19)</f>
        <v>#N/A</v>
      </c>
      <c r="AJ19" s="1118" t="e">
        <f t="shared" ref="AJ19:AJ25" si="8">IF(OR(AW19="BANDEJA",AT19="SI"),IF(BB19="  ","--",IF(AU19="Monopolar",BB19,IF(AU19="Multiconductor",BC19,"--"))),"--")</f>
        <v>#N/A</v>
      </c>
      <c r="AK19" s="1119" t="e">
        <f t="shared" ref="AK19:AK25" si="9">IF(OR(AW19="BANDEJA",AT19="Si"),IF(BB19="  ","--",SUMIF($AN$2:$AN$36,AN19,$AJ$2:$AJ$36)),"--")</f>
        <v>#N/A</v>
      </c>
      <c r="AL19" s="1118" t="e">
        <f t="shared" ref="AL19:AL25" si="10">IF(OR(AW19="BANDEJA",AT19="SI"),IF(BB19="  ","--",100-AK19),"--")</f>
        <v>#N/A</v>
      </c>
      <c r="AM19" s="1118" t="e">
        <f t="shared" ref="AM19:AM25" si="11">IF(OR(AW19="BANDEJA",AT19="SI"),"2/0 AWG","--")</f>
        <v>#N/A</v>
      </c>
      <c r="AN19" s="1120" t="e">
        <f t="shared" ref="AN19:AN25" si="12">IF(OR(AW19="BANDEJA",AT19="SI"),CONCATENATE("E-",AI19,"-15-M-",AR19),"--")</f>
        <v>#N/A</v>
      </c>
      <c r="AO19" s="901">
        <v>1</v>
      </c>
      <c r="AP19" s="943" t="s">
        <v>648</v>
      </c>
      <c r="AQ19" s="944" t="s">
        <v>624</v>
      </c>
      <c r="AR19" s="945" t="s">
        <v>672</v>
      </c>
      <c r="AS19" s="945" t="s">
        <v>1158</v>
      </c>
      <c r="AT19" s="906" t="s">
        <v>605</v>
      </c>
      <c r="AU19" s="946" t="s">
        <v>599</v>
      </c>
      <c r="AV19" s="906" t="s">
        <v>605</v>
      </c>
      <c r="AW19" s="946" t="e">
        <f>+VLOOKUP(C19,'CÁLCULO CONDUCTORES DE MT'!$D$2:$AG$263,21,FALSE)</f>
        <v>#N/A</v>
      </c>
      <c r="AX19" s="903" t="e">
        <f>+VLOOKUP(C19,'CÁLCULO CONDUCTORES DE MT'!$D$2:$BE$263,31,FALSE)</f>
        <v>#N/A</v>
      </c>
      <c r="AY19" s="947" t="e">
        <f>IF((VLOOKUP(C19,'CÁLCULO CONDUCTORES DE MT'!$D$2:$BE$263,47,FALSE))="No",LOOKUP((IF(VLOOKUP(C19,'CÁLCULO CONDUCTORES DE MT'!$D$2:$BE$263,15,FALSE)="VER NOTAS",15,VLOOKUP(C19,'CÁLCULO CONDUCTORES DE MT'!$D$2:$BE$263,15,FALSE))),CONDUCTORES!$A$111:$A$131,IF(VLOOKUP(C19,'CÁLCULO CONDUCTORES DE MT'!$D$2:$BE$263,35,FALSE)="Cu",CONDUCTORES!$B$111:$B$131,CONDUCTORES!$C$111:$C$131)),VLOOKUP(C19,'CÁLCULO CONDUCTORES DE MT'!$D$2:$BE$263,47,FALSE))</f>
        <v>#N/A</v>
      </c>
      <c r="AZ19" s="948" t="e">
        <f>VLOOKUP(C19,'CÁLCULO CONDUCTORES DE MT'!$D$2:$BS$263,58,FALSE)</f>
        <v>#N/A</v>
      </c>
      <c r="BA19" s="947" t="e">
        <f>IF((VLOOKUP(C19,'CÁLCULO CONDUCTORES DE MT'!$D$2:$BS$263,33,FALSE))="Monopolar",VLOOKUP(AY19,CONDUCTORES!$B$9:$X$23,23,FALSE)," ")</f>
        <v>#N/A</v>
      </c>
      <c r="BB19" s="949" t="e">
        <f>IF(OR(AW19="BANDEJA",AT19="Si"),IF(AI19="--","  ",IF(OR(AZ19&lt;=10,BA19&lt;=10),(BF19*100)/(AI19*15),(AF19/(VLOOKUP(AI19,CONDUITS!$A$25:$B$37,2,FALSE)))*100)),"  ")</f>
        <v>#N/A</v>
      </c>
      <c r="BC19" s="949" t="str">
        <f>IF(ISERROR(IF(OR(AW19="BANDEJA",AT19="Si"),IF(AI19="--","  ",((AF19)/(VLOOKUP(AI19,CONDUITS!$A$25:$C$37,3,FALSE)))*100),"  "))=TRUE,"",IF(OR(AW19="BANDEJA",AT19="Si"),IF(AI19="--","  ",((AF19)/(VLOOKUP(AI19,CONDUITS!$A$25:$C$37,3,FALSE)))*100),"  "))</f>
        <v/>
      </c>
      <c r="BD19" s="950" t="e">
        <f>(IF(OR(AW19&lt;&gt;"BANDEJA",AT19="Si"),IF(AB19="EMT",(IF(W19&lt;CONDUITS!$F$14,CONDUITS!$A$14,IF(W19&lt;CONDUITS!$F$15,CONDUITS!$A$15,IF(W19&lt;CONDUITS!$F$16,CONDUITS!$A$16,IF(W19&lt;CONDUITS!$F$17,CONDUITS!$A$17,IF(W19&lt;CONDUITS!$F$18,CONDUITS!$A$18,IF(W19&lt;CONDUITS!$F$19,CONDUITS!$A$19,CONDUITS!$A$17))))))),IF(AB19="IMC",(IF(W19&lt;CONDUITS!$K$14,CONDUITS!$A$14,IF(W19&lt;CONDUITS!$K$15,CONDUITS!$A$15,IF(W19&lt;CONDUITS!$K$16,CONDUITS!$A$16,IF(W19&lt;CONDUITS!$K$17,CONDUITS!$A$17,IF(W19&lt;CONDUITS!$K$18,CONDUITS!$A$18,IF(W19&lt;CONDUITS!$K$19,CONDUITS!$A$19,CONDUITS!$A$17))))))),IF(AB19="RMC",(IF(W19&lt;CONDUITS!$P$14,CONDUITS!$A$14,IF(W19&lt;CONDUITS!$P$15,CONDUITS!$A$15,IF(W19&lt;CONDUITS!$P$16,CONDUITS!$A$16,IF(W19&lt;CONDUITS!$P$17,CONDUITS!$A$17,IF(W19&lt;CONDUITS!$P$18,CONDUITS!$A$18,IF(W19&lt;CONDUITS!$P$19,CONDUITS!$A$19,CONDUITS!$A$18))))))),IF(OR(AB19="PVC",AB19="CONDUIT FLEXIBLE"),(IF(W19&lt;CONDUITS!$U$14,CONDUITS!$A$14,IF(W19&lt;CONDUITS!$U$15,CONDUITS!$A$15,IF(W19&lt;CONDUITS!$U$16,CONDUITS!$A$16,IF(W19&lt;CONDUITS!$U$17,CONDUITS!$A$17,IF(W19&lt;CONDUITS!$U$18,CONDUITS!$A$18,IF(W19&lt;CONDUITS!$U$19,CONDUITS!$A$19,CONDUITS!$A$18))))))),"NO")))),"  "))</f>
        <v>#N/A</v>
      </c>
      <c r="BE19" s="937">
        <f t="shared" si="0"/>
        <v>2</v>
      </c>
      <c r="BF19" s="942" t="e">
        <f>IF(OR(AW19="BANDEJA",AT19="SI"),IF((VLOOKUP(C19,'CÁLCULO CONDUCTORES DE MT'!$D$2:$AX$267,33,FALSE))="Monopolar",(IF((VLOOKUP(C19,'CÁLCULO CONDUCTORES DE MT'!$D$2:$AX$267,44,FALSE))="Si",((((VLOOKUP(C19,'CÁLCULO CONDUCTORES DE MT'!$D$2:$AX$267,32,FALSE))*(  VLOOKUP(C19,'CÁLCULO CONDUCTORES DE MT'!$D$2:$AX$267,22,FALSE)))*(IF(OR(VLOOKUP(C19,'CÁLCULO CONDUCTORES DE MT'!$D$17:$BE$261,7,FALSE)=2300,VLOOKUP(C19,'CÁLCULO CONDUCTORES DE MT'!$D$17:$BE$261,7,FALSE)=4160),LOOKUP(AZ19,'CONDCUTORES MT'!$A$20:$A$28,'CONDCUTORES MT'!$D$20:$D$28),IF(OR(VLOOKUP(C19,'CÁLCULO CONDUCTORES DE MT'!$D$17:$BE$261,7,FALSE)=11400,VLOOKUP(C19,'CÁLCULO CONDUCTORES DE MT'!$D$17:$BE$261,7,FALSE)=13200,VLOOKUP(C19,'CÁLCULO CONDUCTORES DE MT'!$D$17:$BE$261,7,FALSE)=13800),LOOKUP(AZ19,'CONDCUTORES MT'!$A$31:$A$41,'CONDCUTORES MT'!$D$31:$D$41),LOOKUP(AZ19,'CONDCUTORES MT'!$A$46:$A$54,'CONDCUTORES MT'!$D$46:$D$54)))))+((VLOOKUP(C19,'CÁLCULO CONDUCTORES DE MT'!$D$2:$AX$267,32,FALSE))*(LOOKUP(AZ19,'CONDCUTORES MT'!$A$46:$A$203,'CONDCUTORES MT'!$D$46:$D$54)))),        (((VLOOKUP(C19,'CÁLCULO CONDUCTORES DE MT'!$D$2:$AX$267,32,FALSE))*   (  VLOOKUP(C19,'CÁLCULO CONDUCTORES DE MT'!$D$2:$AX$267,22,FALSE))  )*      (IF(OR(VLOOKUP(C19,'CÁLCULO CONDUCTORES DE MT'!$D$17:$BE$261,7,FALSE)=2300,VLOOKUP(C19,'CÁLCULO CONDUCTORES DE MT'!$D$17:$BE$261,7,FALSE)=4160),LOOKUP(AZ19,'CONDCUTORES MT'!$A$20:$A$28,'CONDCUTORES MT'!$D$20:$D$28),IF(OR(VLOOKUP(C19,'CÁLCULO CONDUCTORES DE MT'!$D$17:$BE$261,7,FALSE)=11400,VLOOKUP(C19,'CÁLCULO CONDUCTORES DE MT'!$D$17:$BE$261,7,FALSE)=13200,VLOOKUP(C19,'CÁLCULO CONDUCTORES DE MT'!$D$17:$BE$261,7,FALSE)=13800),LOOKUP(AZ19,'CONDCUTORES MT'!$A$31:$A$41,'CONDCUTORES MT'!$D$31:$D$41),LOOKUP(AZ19,'CONDCUTORES MT'!$A$46:$A$54,'CONDCUTORES MT'!$D$46:$D$54))))      ))),(MID(K19,1,1))*(LOOKUP(AZ19,'CONDCUTORES MT'!$A$83:$A$86,'CONDCUTORES MT'!$D$83:$D$86))),"--")</f>
        <v>#N/A</v>
      </c>
      <c r="BG19" s="951"/>
      <c r="BH19" s="952" t="s">
        <v>624</v>
      </c>
      <c r="BI19" s="1318"/>
      <c r="BJ19" s="464"/>
      <c r="BK19" s="1322"/>
      <c r="BL19" s="1322"/>
      <c r="BM19" s="1322"/>
      <c r="BN19" s="1322"/>
      <c r="BO19" s="1322"/>
      <c r="BP19" s="1322"/>
      <c r="BQ19" s="1322"/>
      <c r="BR19" s="1322"/>
      <c r="BS19" s="1322"/>
      <c r="BT19" s="1322"/>
      <c r="BU19" s="1322"/>
      <c r="BV19" s="1322"/>
      <c r="BW19" s="1322"/>
      <c r="BX19" s="1322"/>
      <c r="BY19" s="1322"/>
      <c r="BZ19" s="1322"/>
      <c r="CA19" s="1322"/>
      <c r="CB19" s="1322"/>
      <c r="CC19" s="1322"/>
      <c r="CD19" s="1322"/>
      <c r="CE19" s="1322"/>
      <c r="CF19" s="1322"/>
      <c r="CG19" s="1322"/>
      <c r="CH19" s="1322"/>
      <c r="CI19" s="1322"/>
      <c r="CJ19" s="1322"/>
      <c r="CK19" s="1322"/>
    </row>
    <row r="20" spans="1:89" s="580" customFormat="1" ht="32.1" hidden="1" customHeight="1" x14ac:dyDescent="0.25">
      <c r="A20" s="1185">
        <v>5</v>
      </c>
      <c r="B20" s="1146" t="str">
        <f>+_xlfn.CONCAT($B$18,".",SUBTOTAL(103,$AO$19:AO20))</f>
        <v>4.2.0</v>
      </c>
      <c r="C20" s="1823" t="e">
        <f>+VLOOKUP(A20,'CÁLCULO CONDUCTORES DE MT'!$B$17:$BR$264,3,FALSE)</f>
        <v>#N/A</v>
      </c>
      <c r="D20" s="1824"/>
      <c r="E20" s="1825"/>
      <c r="F20" s="1823" t="e">
        <f>+VLOOKUP(C20,'CÁLCULO CONDUCTORES DE MT'!$D$2:$AG$263,2,FALSE)</f>
        <v>#N/A</v>
      </c>
      <c r="G20" s="1824"/>
      <c r="H20" s="1824"/>
      <c r="I20" s="1824"/>
      <c r="J20" s="1825"/>
      <c r="K20" s="1819" t="e">
        <f>+VLOOKUP(C20,'CÁLCULO CONDUCTORES DE MT'!$D$2:$AG$263,18,FALSE)</f>
        <v>#N/A</v>
      </c>
      <c r="L20" s="1820"/>
      <c r="M20" s="1820"/>
      <c r="N20" s="1820"/>
      <c r="O20" s="1821"/>
      <c r="P20" s="1816" t="e">
        <f>+VLOOKUP(C20,'CÁLCULO CONDUCTORES DE MT'!$D$2:$AG$263,17,FALSE)</f>
        <v>#N/A</v>
      </c>
      <c r="Q20" s="1817"/>
      <c r="R20" s="1817"/>
      <c r="S20" s="1817"/>
      <c r="T20" s="1817"/>
      <c r="U20" s="1818"/>
      <c r="V20" s="1132" t="e">
        <f>+VLOOKUP(C20,'CÁLCULO CONDUCTORES DE MT'!$D$2:$AG$269,4,FALSE)</f>
        <v>#N/A</v>
      </c>
      <c r="W20" s="1133" t="e">
        <f t="shared" si="1"/>
        <v>#N/A</v>
      </c>
      <c r="X20" s="1133" t="e">
        <f>IF(AW20="AÉREO","--",IF(OR(AW20&lt;&gt;"BANDEJA",AT20="Si"),IF(VLOOKUP(C20,'CÁLCULO CONDUCTORES DE MT'!$D$17:$BE$261,41,FALSE)="M",LOOKUP(AZ20,'CONDCUTORES MT'!$A$20:$A$28,'CONDCUTORES MT'!$X$20:$X$28),IF(VLOOKUP(C20,'CÁLCULO CONDUCTORES DE MT'!$D$17:$BE$261,7,FALSE)=34500,3*LOOKUP(AZ20,'CONDCUTORES MT'!$A$46:$A$54,'CONDCUTORES MT'!$E$46:$E$54),IF(VLOOKUP(C20,'CÁLCULO CONDUCTORES DE MT'!$D$17:$BE$261,33,FALSE)="Cable Armado",LOOKUP(AZ20,'CONDCUTORES MT'!$A$83:$A$86,'CONDCUTORES MT'!$E$83:$E$86),IF(AND(VLOOKUP(C20,'CÁLCULO CONDUCTORES DE MT'!$D$17:$BE$261,33,FALSE)="Monopolar",VLOOKUP(C20,'CÁLCULO CONDUCTORES DE MT'!$D$17:$BE$261,44,FALSE)="Si"),(3*IF(OR(VLOOKUP(C20,'CÁLCULO CONDUCTORES DE MT'!$D$17:$BE$261,7,FALSE)=11400,VLOOKUP(C20,'CÁLCULO CONDUCTORES DE MT'!$D$17:$BE$261,7,FALSE)=13200,VLOOKUP(C20,'CÁLCULO CONDUCTORES DE MT'!$D$17:$BE$261,7,FALSE)=13800),LOOKUP(AZ20,'CONDCUTORES MT'!$A$33:$A$41,'CONDCUTORES MT'!$E$33:$E$41),LOOKUP(AZ20,'CONDCUTORES MT'!$A$20:$A$28,'CONDCUTORES MT'!$E$20:$E$28)))+(LOOKUP(BA20,CONDUCTORES!$A$9:$A$23,CONDUCTORES!$F$9:$F$23)),IF(AND(VLOOKUP(C20,'CÁLCULO CONDUCTORES DE MT'!$D$17:$BE$261,33,FALSE)="Monopolar",VLOOKUP(C20,'CÁLCULO CONDUCTORES DE MT'!$D$17:$BE$261,44,FALSE)="No"),(3*IF(OR(VLOOKUP(C20,'CÁLCULO CONDUCTORES DE MT'!$D$17:$BE$261,7,FALSE)=11400,VLOOKUP(C20,'CÁLCULO CONDUCTORES DE MT'!$D$17:$BE$261,7,FALSE)=13200,VLOOKUP(C20,'CÁLCULO CONDUCTORES DE MT'!$D$17:$BE$261,7,FALSE)=13800),LOOKUP(AZ20,'CONDCUTORES MT'!$A$33:$A$41,'CONDCUTORES MT'!$E$33:$E$41),LOOKUP(AZ20,'CONDCUTORES MT'!$A$20:$A$28,'CONDCUTORES MT'!$E$20:$E$28))     ),"VERIFICAR CONDUCTOR"))))),"--"))</f>
        <v>#N/A</v>
      </c>
      <c r="Y20" s="1133" t="e">
        <f t="shared" si="2"/>
        <v>#N/A</v>
      </c>
      <c r="Z20" s="1134" t="e">
        <f>IF(AW20="AÉREO","--",IF(OR(AW20&lt;&gt;"BANDEJA",AT20="Si"),IF(AB20="--","--",VLOOKUP(BD20,CONDUITS!$A$14:$C$19,3,FALSE)),"--"))</f>
        <v>#N/A</v>
      </c>
      <c r="AA20" s="1135" t="e">
        <f t="shared" si="3"/>
        <v>#N/A</v>
      </c>
      <c r="AB20" s="1136" t="e">
        <f t="shared" si="4"/>
        <v>#N/A</v>
      </c>
      <c r="AC20" s="1137" t="e">
        <f>IF(MOD(MID(K20,1,1),IF(OR(AW20="BANDEJA",AW20="AÉREO"),1,AA20))=0,IF(AW20="AÉREO","--",IF(OR(AW20&lt;&gt;"BANDEJA",AT20="Si"),IF(AB20="EMT",(W20/VLOOKUP(BD20,CONDUITS!$A$14:$W$19,7)*100),IF(AB20="IMC",(W20/VLOOKUP(BD20,CONDUITS!$A$14:$W$19,12)*100),IF(AB20="RMC",(W20/VLOOKUP(BD20,CONDUITS!$A$14:$W$19,17)*100),IF(OR(AB20="PVC",AB20="CONDUIT FLEXIBLE"),(W20/VLOOKUP(BD20,CONDUITS!$A$14:$W$19,22)*100),"--")))),"--")),"NO")</f>
        <v>#N/A</v>
      </c>
      <c r="AD20" s="1138" t="e">
        <f t="shared" si="5"/>
        <v>#N/A</v>
      </c>
      <c r="AE20" s="1135" t="e">
        <f>IF(OR(AW20="BANDEJA",AT20="SI"),(IF((VLOOKUP(C20,'CÁLCULO CONDUCTORES DE MT'!$D$2:$AX$267,33,FALSE))="Monopolar",(IF((VLOOKUP(C20,'CÁLCULO CONDUCTORES DE MT'!$D$2:$AX$267,44,FALSE))="Si",(((VLOOKUP(C20,'CÁLCULO CONDUCTORES DE MT'!$D$2:$AX$267,32,FALSE))*(VLOOKUP(C20,'CÁLCULO CONDUCTORES DE MT'!$D$2:$AX$267,22,FALSE)))+(VLOOKUP(C20,'CÁLCULO CONDUCTORES DE MT'!$D$2:$AX$267,32,FALSE))),((VLOOKUP(C20,'CÁLCULO CONDUCTORES DE MT'!$D$2:$AX$267,32,FALSE))*(VLOOKUP(C20,'CÁLCULO CONDUCTORES DE MT'!$D$2:$AX$267,22,FALSE))))),IF((VLOOKUP(C20,'CÁLCULO CONDUCTORES DE MT'!$D$2:$AX$267,32,FALSE))="Cable Armado",((VLOOKUP(C20,'CÁLCULO CONDUCTORES DE MT'!$D$2:$AX$267,32,FALSE))*(VLOOKUP(C20,'CÁLCULO CONDUCTORES DE MT'!$D$2:$AX$267,22,FALSE))),MID(K20,1,1)))),"--")</f>
        <v>#N/A</v>
      </c>
      <c r="AF20" s="1135" t="e">
        <f>IF(OR(AW20="BANDEJA",AT20="SI"),IF((VLOOKUP(C20,'CÁLCULO CONDUCTORES DE MT'!$D$2:$AX$267,33,FALSE))="Monopolar",(IF((VLOOKUP(C20,'CÁLCULO CONDUCTORES DE MT'!$D$2:$AX$267,44,FALSE))="Si",((((VLOOKUP(C20,'CÁLCULO CONDUCTORES DE MT'!$D$2:$AX$267,32,FALSE))*(VLOOKUP(C20,'CÁLCULO CONDUCTORES DE MT'!$D$2:$AX$267,22,FALSE)))*(IF(OR(VLOOKUP(C20,'CÁLCULO CONDUCTORES DE MT'!$D$17:$BE$261,7,FALSE)=2300,VLOOKUP(C20,'CÁLCULO CONDUCTORES DE MT'!$D$17:$BE$261,7,FALSE)=4160),LOOKUP(AZ20,'CONDCUTORES MT'!$A$20:$A$28,'CONDCUTORES MT'!$E$20:$E$28),IF(OR(VLOOKUP(C20,'CÁLCULO CONDUCTORES DE MT'!$D$17:$BE$261,7,FALSE)=11400,VLOOKUP(C20,'CÁLCULO CONDUCTORES DE MT'!$D$17:$BE$261,7,FALSE)=13200,VLOOKUP(C20,'CÁLCULO CONDUCTORES DE MT'!$D$17:$BE$261,7,FALSE)=13800),LOOKUP(AZ20,'CONDCUTORES MT'!$A$31:$A$41,'CONDCUTORES MT'!$E$31:$E$41),LOOKUP(AZ20,'CONDCUTORES MT'!$A$46:$A$54,'CONDCUTORES MT'!$E$46:$E$54)))))+((VLOOKUP(C20,'CÁLCULO CONDUCTORES DE MT'!$D$2:$AX$267,32,FALSE))*(LOOKUP(BA20,CONDUCTORES!$A$9:$A$62,CONDUCTORES!$F$9:$F$62)))),((AE20)*(IF(OR(VLOOKUP(C20,'CÁLCULO CONDUCTORES DE MT'!$D$17:$BE$261,7,FALSE)=2300,VLOOKUP(C20,'CÁLCULO CONDUCTORES DE MT'!$D$17:$BE$261,7,FALSE)=4160),LOOKUP(AZ20,'CONDCUTORES MT'!$A$20:$A$28,'CONDCUTORES MT'!$E$20:$E$28),IF(OR(VLOOKUP(C20,'CÁLCULO CONDUCTORES DE MT'!$D$17:$BE$261,7,FALSE)=11400,VLOOKUP(C20,'CÁLCULO CONDUCTORES DE MT'!$D$17:$BE$261,7,FALSE)=13200,VLOOKUP(C20,'CÁLCULO CONDUCTORES DE MT'!$D$17:$BE$261,7,FALSE)=13800),LOOKUP(AZ20,'CONDCUTORES MT'!$A$31:$A$41,'CONDCUTORES MT'!$E$31:$E$41),LOOKUP(AZ20,'CONDCUTORES MT'!$A$46:$A$54,'CONDCUTORES MT'!$E$46:$E$54))))))),(IF((VLOOKUP(C20,'CÁLCULO CONDUCTORES DE MT'!$D$2:$AX$267,33,FALSE))="Cable Armado",((AE20)*(LOOKUP(AZ20,'CONDCUTORES MT'!$A$83:$A$86,'CONDCUTORES MT'!$E$83:$E$86))),"N/A"))),"--")</f>
        <v>#N/A</v>
      </c>
      <c r="AG20" s="1139" t="e">
        <f>IF(OR(AW20="BANDEJA",AT20="SI"),IF((VLOOKUP(C20,'CÁLCULO CONDUCTORES DE MT'!$D$2:$AX$267,33,FALSE))="Monopolar",(IF((VLOOKUP(C20,'CÁLCULO CONDUCTORES DE MT'!$D$2:$AX$267,44,FALSE))="Si",((((VLOOKUP(C20,'CÁLCULO CONDUCTORES DE MT'!$D$2:$AX$267,32,FALSE))*(  IF(AS20="Horizontal", VLOOKUP(C20,'CÁLCULO CONDUCTORES DE MT'!$D$2:$AX$267,22,FALSE), IF(OR(VLOOKUP(C20,'CÁLCULO CONDUCTORES DE MT'!$D$2:$AX$267,22,FALSE)=3,VLOOKUP(C20,'CÁLCULO CONDUCTORES DE MT'!$D$2:$AX$267,22,FALSE)=6,VLOOKUP(C20,'CÁLCULO CONDUCTORES DE MT'!$D$2:$AX$267,22,FALSE)=9,VLOOKUP(C20,'CÁLCULO CONDUCTORES DE MT'!$D$2:$AX$267,22,FALSE)=12,VLOOKUP(C20,'CÁLCULO CONDUCTORES DE MT'!$D$2:$AX$267,22,FALSE)=15),((VLOOKUP(C20,'CÁLCULO CONDUCTORES DE MT'!$D$2:$AX$267,22,FALSE))-((VLOOKUP(C20,'CÁLCULO CONDUCTORES DE MT'!$D$2:$AX$267,22,FALSE))/3)) ) ) ))*(IF(OR(VLOOKUP(C20,'CÁLCULO CONDUCTORES DE MT'!$D$17:$BE$261,7,FALSE)=2300,VLOOKUP(C20,'CÁLCULO CONDUCTORES DE MT'!$D$17:$BE$261,7,FALSE)=4160),LOOKUP(AZ20,'CONDCUTORES MT'!$A$20:$A$28,'CONDCUTORES MT'!$D$20:$D$28),IF(OR(VLOOKUP(C20,'CÁLCULO CONDUCTORES DE MT'!$D$17:$BE$261,7,FALSE)=11400,VLOOKUP(C20,'CÁLCULO CONDUCTORES DE MT'!$D$17:$BE$261,7,FALSE)=13200,VLOOKUP(C20,'CÁLCULO CONDUCTORES DE MT'!$D$17:$BE$261,7,FALSE)=13800),LOOKUP(AZ20,'CONDCUTORES MT'!$A$31:$A$41,'CONDCUTORES MT'!$D$31:$D$41),LOOKUP(AZ20,'CONDCUTORES MT'!$A$46:$A$54,'CONDCUTORES MT'!$D$46:$D$54)))))+((VLOOKUP(C20,'CÁLCULO CONDUCTORES DE MT'!$D$2:$AX$267,32,FALSE))*(LOOKUP(AZ20,'CONDCUTORES MT'!$A$46:$A$203,'CONDCUTORES MT'!$D$46:$D$54)))),        (((VLOOKUP(C20,'CÁLCULO CONDUCTORES DE MT'!$D$2:$AX$267,32,FALSE))*   (  IF(AS20="Horizontal", VLOOKUP(C20,'CÁLCULO CONDUCTORES DE MT'!$D$2:$AX$267,22,FALSE), IF(OR(VLOOKUP(C20,'CÁLCULO CONDUCTORES DE MT'!$D$2:$AX$267,22,FALSE)=3,VLOOKUP(C20,'CÁLCULO CONDUCTORES DE MT'!$D$2:$AX$267,22,FALSE)=6,VLOOKUP(C20,'CÁLCULO CONDUCTORES DE MT'!$D$2:$AX$267,22,FALSE)=9,VLOOKUP(C20,'CÁLCULO CONDUCTORES DE MT'!$D$2:$AX$267,22,FALSE)=12,VLOOKUP(C20,'CÁLCULO CONDUCTORES DE MT'!$D$2:$AX$267,22,FALSE)=15),((VLOOKUP(C20,'CÁLCULO CONDUCTORES DE MT'!$D$2:$AX$267,22,FALSE))-((VLOOKUP(C20,'CÁLCULO CONDUCTORES DE MT'!$D$2:$AX$267,22,FALSE))/3)) ) ) )  )*      (IF(OR(VLOOKUP(C20,'CÁLCULO CONDUCTORES DE MT'!$D$17:$BE$261,7,FALSE)=2300,VLOOKUP(C20,'CÁLCULO CONDUCTORES DE MT'!$D$17:$BE$261,7,FALSE)=4160),LOOKUP(AZ20,'CONDCUTORES MT'!$A$20:$A$28,'CONDCUTORES MT'!$D$20:$D$28),IF(OR(VLOOKUP(C20,'CÁLCULO CONDUCTORES DE MT'!$D$17:$BE$261,7,FALSE)=11400,VLOOKUP(C20,'CÁLCULO CONDUCTORES DE MT'!$D$17:$BE$261,7,FALSE)=13200,VLOOKUP(C20,'CÁLCULO CONDUCTORES DE MT'!$D$17:$BE$261,7,FALSE)=13800),LOOKUP(AZ20,'CONDCUTORES MT'!$A$31:$A$41,'CONDCUTORES MT'!$D$31:$D$41),LOOKUP(AZ20,'CONDCUTORES MT'!$A$46:$A$54,'CONDCUTORES MT'!$D$46:$D$54))))      ))),(MID(K20,1,1))*(LOOKUP(AZ20,'CONDCUTORES MT'!$A$83:$A$86,'CONDCUTORES MT'!$D$83:$D$86))),"--")</f>
        <v>#N/A</v>
      </c>
      <c r="AH20" s="1139" t="e">
        <f t="shared" si="6"/>
        <v>#N/A</v>
      </c>
      <c r="AI20" s="1139" t="e">
        <f t="shared" si="7"/>
        <v>#N/A</v>
      </c>
      <c r="AJ20" s="1140" t="e">
        <f t="shared" si="8"/>
        <v>#N/A</v>
      </c>
      <c r="AK20" s="1141" t="e">
        <f t="shared" si="9"/>
        <v>#N/A</v>
      </c>
      <c r="AL20" s="1140" t="e">
        <f t="shared" si="10"/>
        <v>#N/A</v>
      </c>
      <c r="AM20" s="1140" t="e">
        <f t="shared" si="11"/>
        <v>#N/A</v>
      </c>
      <c r="AN20" s="1142" t="e">
        <f t="shared" si="12"/>
        <v>#N/A</v>
      </c>
      <c r="AO20" s="901">
        <v>1</v>
      </c>
      <c r="AP20" s="943" t="s">
        <v>648</v>
      </c>
      <c r="AQ20" s="944" t="s">
        <v>624</v>
      </c>
      <c r="AR20" s="945" t="s">
        <v>629</v>
      </c>
      <c r="AS20" s="945" t="s">
        <v>1158</v>
      </c>
      <c r="AT20" s="906" t="s">
        <v>605</v>
      </c>
      <c r="AU20" s="946" t="s">
        <v>599</v>
      </c>
      <c r="AV20" s="906" t="s">
        <v>605</v>
      </c>
      <c r="AW20" s="946" t="e">
        <f>+VLOOKUP(C20,'CÁLCULO CONDUCTORES DE MT'!$D$2:$AG$263,21,FALSE)</f>
        <v>#N/A</v>
      </c>
      <c r="AX20" s="903" t="e">
        <f>+VLOOKUP(C20,'CÁLCULO CONDUCTORES DE MT'!$D$2:$BE$263,31,FALSE)</f>
        <v>#N/A</v>
      </c>
      <c r="AY20" s="947" t="e">
        <f>IF((VLOOKUP(C20,'CÁLCULO CONDUCTORES DE MT'!$D$2:$BE$263,47,FALSE))="No",LOOKUP((IF(VLOOKUP(C20,'CÁLCULO CONDUCTORES DE MT'!$D$2:$BE$263,15,FALSE)="VER NOTAS",15,VLOOKUP(C20,'CÁLCULO CONDUCTORES DE MT'!$D$2:$BE$263,15,FALSE))),CONDUCTORES!$A$111:$A$131,IF(VLOOKUP(C20,'CÁLCULO CONDUCTORES DE MT'!$D$2:$BE$263,35,FALSE)="Cu",CONDUCTORES!$B$111:$B$131,CONDUCTORES!$C$111:$C$131)),VLOOKUP(C20,'CÁLCULO CONDUCTORES DE MT'!$D$2:$BE$263,47,FALSE))</f>
        <v>#N/A</v>
      </c>
      <c r="AZ20" s="948" t="e">
        <f>VLOOKUP(C20,'CÁLCULO CONDUCTORES DE MT'!$D$2:$BS$263,58,FALSE)</f>
        <v>#N/A</v>
      </c>
      <c r="BA20" s="947" t="e">
        <f>IF((VLOOKUP(C20,'CÁLCULO CONDUCTORES DE MT'!$D$2:$BS$263,33,FALSE))="Monopolar",VLOOKUP(AY20,CONDUCTORES!$B$9:$X$23,23,FALSE)," ")</f>
        <v>#N/A</v>
      </c>
      <c r="BB20" s="949" t="e">
        <f>IF(OR(AW20="BANDEJA",AT20="Si"),IF(AI20="--","  ",IF(OR(AZ20&lt;=10,BA20&lt;=10),(BF20*100)/(AI20*15),(AF20/(VLOOKUP(AI20,CONDUITS!$A$25:$B$37,2,FALSE)))*100)),"  ")</f>
        <v>#N/A</v>
      </c>
      <c r="BC20" s="949" t="str">
        <f>IF(ISERROR(IF(OR(AW20="BANDEJA",AT20="Si"),IF(AI20="--","  ",((AF20)/(VLOOKUP(AI20,CONDUITS!$A$25:$C$37,3,FALSE)))*100),"  "))=TRUE,"",IF(OR(AW20="BANDEJA",AT20="Si"),IF(AI20="--","  ",((AF20)/(VLOOKUP(AI20,CONDUITS!$A$25:$C$37,3,FALSE)))*100),"  "))</f>
        <v/>
      </c>
      <c r="BD20" s="950" t="e">
        <f>(IF(OR(AW20&lt;&gt;"BANDEJA",AT20="Si"),IF(AB20="EMT",(IF(W20&lt;CONDUITS!$F$14,CONDUITS!$A$14,IF(W20&lt;CONDUITS!$F$15,CONDUITS!$A$15,IF(W20&lt;CONDUITS!$F$16,CONDUITS!$A$16,IF(W20&lt;CONDUITS!$F$17,CONDUITS!$A$17,IF(W20&lt;CONDUITS!$F$18,CONDUITS!$A$18,IF(W20&lt;CONDUITS!$F$19,CONDUITS!$A$19,CONDUITS!$A$17))))))),IF(AB20="IMC",(IF(W20&lt;CONDUITS!$K$14,CONDUITS!$A$14,IF(W20&lt;CONDUITS!$K$15,CONDUITS!$A$15,IF(W20&lt;CONDUITS!$K$16,CONDUITS!$A$16,IF(W20&lt;CONDUITS!$K$17,CONDUITS!$A$17,IF(W20&lt;CONDUITS!$K$18,CONDUITS!$A$18,IF(W20&lt;CONDUITS!$K$19,CONDUITS!$A$19,CONDUITS!$A$17))))))),IF(AB20="RMC",(IF(W20&lt;CONDUITS!$P$14,CONDUITS!$A$14,IF(W20&lt;CONDUITS!$P$15,CONDUITS!$A$15,IF(W20&lt;CONDUITS!$P$16,CONDUITS!$A$16,IF(W20&lt;CONDUITS!$P$17,CONDUITS!$A$17,IF(W20&lt;CONDUITS!$P$18,CONDUITS!$A$18,IF(W20&lt;CONDUITS!$P$19,CONDUITS!$A$19,CONDUITS!$A$18))))))),IF(OR(AB20="PVC",AB20="CONDUIT FLEXIBLE"),(IF(W20&lt;CONDUITS!$U$14,CONDUITS!$A$14,IF(W20&lt;CONDUITS!$U$15,CONDUITS!$A$15,IF(W20&lt;CONDUITS!$U$16,CONDUITS!$A$16,IF(W20&lt;CONDUITS!$U$17,CONDUITS!$A$17,IF(W20&lt;CONDUITS!$U$18,CONDUITS!$A$18,IF(W20&lt;CONDUITS!$U$19,CONDUITS!$A$19,CONDUITS!$A$18))))))),"NO")))),"  "))</f>
        <v>#N/A</v>
      </c>
      <c r="BE20" s="937">
        <f t="shared" si="0"/>
        <v>2</v>
      </c>
      <c r="BF20" s="942" t="e">
        <f>IF(OR(AW20="BANDEJA",AT20="SI"),IF((VLOOKUP(C20,'CÁLCULO CONDUCTORES DE MT'!$D$2:$AX$267,33,FALSE))="Monopolar",(IF((VLOOKUP(C20,'CÁLCULO CONDUCTORES DE MT'!$D$2:$AX$267,44,FALSE))="Si",((((VLOOKUP(C20,'CÁLCULO CONDUCTORES DE MT'!$D$2:$AX$267,32,FALSE))*(  VLOOKUP(C20,'CÁLCULO CONDUCTORES DE MT'!$D$2:$AX$267,22,FALSE)))*(IF(OR(VLOOKUP(C20,'CÁLCULO CONDUCTORES DE MT'!$D$17:$BE$261,7,FALSE)=2300,VLOOKUP(C20,'CÁLCULO CONDUCTORES DE MT'!$D$17:$BE$261,7,FALSE)=4160),LOOKUP(AZ20,'CONDCUTORES MT'!$A$20:$A$28,'CONDCUTORES MT'!$D$20:$D$28),IF(OR(VLOOKUP(C20,'CÁLCULO CONDUCTORES DE MT'!$D$17:$BE$261,7,FALSE)=11400,VLOOKUP(C20,'CÁLCULO CONDUCTORES DE MT'!$D$17:$BE$261,7,FALSE)=13200,VLOOKUP(C20,'CÁLCULO CONDUCTORES DE MT'!$D$17:$BE$261,7,FALSE)=13800),LOOKUP(AZ20,'CONDCUTORES MT'!$A$31:$A$41,'CONDCUTORES MT'!$D$31:$D$41),LOOKUP(AZ20,'CONDCUTORES MT'!$A$46:$A$54,'CONDCUTORES MT'!$D$46:$D$54)))))+((VLOOKUP(C20,'CÁLCULO CONDUCTORES DE MT'!$D$2:$AX$267,32,FALSE))*(LOOKUP(AZ20,'CONDCUTORES MT'!$A$46:$A$203,'CONDCUTORES MT'!$D$46:$D$54)))),        (((VLOOKUP(C20,'CÁLCULO CONDUCTORES DE MT'!$D$2:$AX$267,32,FALSE))*   (  VLOOKUP(C20,'CÁLCULO CONDUCTORES DE MT'!$D$2:$AX$267,22,FALSE))  )*      (IF(OR(VLOOKUP(C20,'CÁLCULO CONDUCTORES DE MT'!$D$17:$BE$261,7,FALSE)=2300,VLOOKUP(C20,'CÁLCULO CONDUCTORES DE MT'!$D$17:$BE$261,7,FALSE)=4160),LOOKUP(AZ20,'CONDCUTORES MT'!$A$20:$A$28,'CONDCUTORES MT'!$D$20:$D$28),IF(OR(VLOOKUP(C20,'CÁLCULO CONDUCTORES DE MT'!$D$17:$BE$261,7,FALSE)=11400,VLOOKUP(C20,'CÁLCULO CONDUCTORES DE MT'!$D$17:$BE$261,7,FALSE)=13200,VLOOKUP(C20,'CÁLCULO CONDUCTORES DE MT'!$D$17:$BE$261,7,FALSE)=13800),LOOKUP(AZ20,'CONDCUTORES MT'!$A$31:$A$41,'CONDCUTORES MT'!$D$31:$D$41),LOOKUP(AZ20,'CONDCUTORES MT'!$A$46:$A$54,'CONDCUTORES MT'!$D$46:$D$54))))      ))),(MID(K20,1,1))*(LOOKUP(AZ20,'CONDCUTORES MT'!$A$83:$A$86,'CONDCUTORES MT'!$D$83:$D$86))),"--")</f>
        <v>#N/A</v>
      </c>
      <c r="BG20" s="951"/>
      <c r="BH20" s="952" t="s">
        <v>624</v>
      </c>
      <c r="BI20" s="1318"/>
      <c r="BJ20" s="464"/>
      <c r="BK20" s="1322"/>
      <c r="BL20" s="1322"/>
      <c r="BM20" s="1322"/>
      <c r="BN20" s="1322"/>
      <c r="BO20" s="1322"/>
      <c r="BP20" s="1322"/>
      <c r="BQ20" s="1322"/>
      <c r="BR20" s="1322"/>
      <c r="BS20" s="1322"/>
      <c r="BT20" s="1322"/>
      <c r="BU20" s="1322"/>
      <c r="BV20" s="1322"/>
      <c r="BW20" s="1322"/>
      <c r="BX20" s="1322"/>
      <c r="BY20" s="1322"/>
      <c r="BZ20" s="1322"/>
      <c r="CA20" s="1322"/>
      <c r="CB20" s="1322"/>
      <c r="CC20" s="1322"/>
      <c r="CD20" s="1322"/>
      <c r="CE20" s="1322"/>
      <c r="CF20" s="1322"/>
      <c r="CG20" s="1322"/>
      <c r="CH20" s="1322"/>
      <c r="CI20" s="1322"/>
      <c r="CJ20" s="1322"/>
      <c r="CK20" s="1322"/>
    </row>
    <row r="21" spans="1:89" s="580" customFormat="1" ht="32.1" hidden="1" customHeight="1" x14ac:dyDescent="0.25">
      <c r="A21" s="1185">
        <v>6</v>
      </c>
      <c r="B21" s="1146" t="str">
        <f>+_xlfn.CONCAT($B$18,".",SUBTOTAL(103,$AO$19:AO21))</f>
        <v>4.2.0</v>
      </c>
      <c r="C21" s="1823" t="e">
        <f>+VLOOKUP(A21,'CÁLCULO CONDUCTORES DE MT'!$B$17:$BR$264,3,FALSE)</f>
        <v>#N/A</v>
      </c>
      <c r="D21" s="1824"/>
      <c r="E21" s="1825"/>
      <c r="F21" s="1823" t="e">
        <f>+VLOOKUP(C21,'CÁLCULO CONDUCTORES DE MT'!$D$2:$AG$263,2,FALSE)</f>
        <v>#N/A</v>
      </c>
      <c r="G21" s="1824"/>
      <c r="H21" s="1824"/>
      <c r="I21" s="1824"/>
      <c r="J21" s="1825"/>
      <c r="K21" s="1819" t="e">
        <f>+VLOOKUP(C21,'CÁLCULO CONDUCTORES DE MT'!$D$2:$AG$263,18,FALSE)</f>
        <v>#N/A</v>
      </c>
      <c r="L21" s="1820"/>
      <c r="M21" s="1820"/>
      <c r="N21" s="1820"/>
      <c r="O21" s="1821"/>
      <c r="P21" s="1816" t="e">
        <f>+VLOOKUP(C21,'CÁLCULO CONDUCTORES DE MT'!$D$2:$AG$263,17,FALSE)</f>
        <v>#N/A</v>
      </c>
      <c r="Q21" s="1817"/>
      <c r="R21" s="1817"/>
      <c r="S21" s="1817"/>
      <c r="T21" s="1817"/>
      <c r="U21" s="1818"/>
      <c r="V21" s="1132" t="e">
        <f>+VLOOKUP(C21,'CÁLCULO CONDUCTORES DE MT'!$D$2:$AG$269,4,FALSE)</f>
        <v>#N/A</v>
      </c>
      <c r="W21" s="1133" t="e">
        <f t="shared" si="1"/>
        <v>#N/A</v>
      </c>
      <c r="X21" s="1133" t="e">
        <f>IF(AW21="AÉREO","--",IF(OR(AW21&lt;&gt;"BANDEJA",AT21="Si"),IF(VLOOKUP(C21,'CÁLCULO CONDUCTORES DE MT'!$D$17:$BE$261,41,FALSE)="M",LOOKUP(AZ21,'CONDCUTORES MT'!$A$20:$A$28,'CONDCUTORES MT'!$X$20:$X$28),IF(VLOOKUP(C21,'CÁLCULO CONDUCTORES DE MT'!$D$17:$BE$261,7,FALSE)=34500,3*LOOKUP(AZ21,'CONDCUTORES MT'!$A$46:$A$54,'CONDCUTORES MT'!$E$46:$E$54),IF(VLOOKUP(C21,'CÁLCULO CONDUCTORES DE MT'!$D$17:$BE$261,33,FALSE)="Cable Armado",LOOKUP(AZ21,'CONDCUTORES MT'!$A$83:$A$86,'CONDCUTORES MT'!$E$83:$E$86),IF(AND(VLOOKUP(C21,'CÁLCULO CONDUCTORES DE MT'!$D$17:$BE$261,33,FALSE)="Monopolar",VLOOKUP(C21,'CÁLCULO CONDUCTORES DE MT'!$D$17:$BE$261,44,FALSE)="Si"),(3*IF(OR(VLOOKUP(C21,'CÁLCULO CONDUCTORES DE MT'!$D$17:$BE$261,7,FALSE)=11400,VLOOKUP(C21,'CÁLCULO CONDUCTORES DE MT'!$D$17:$BE$261,7,FALSE)=13200,VLOOKUP(C21,'CÁLCULO CONDUCTORES DE MT'!$D$17:$BE$261,7,FALSE)=13800),LOOKUP(AZ21,'CONDCUTORES MT'!$A$33:$A$41,'CONDCUTORES MT'!$E$33:$E$41),LOOKUP(AZ21,'CONDCUTORES MT'!$A$20:$A$28,'CONDCUTORES MT'!$E$20:$E$28)))+(LOOKUP(BA21,CONDUCTORES!$A$9:$A$23,CONDUCTORES!$F$9:$F$23)),IF(AND(VLOOKUP(C21,'CÁLCULO CONDUCTORES DE MT'!$D$17:$BE$261,33,FALSE)="Monopolar",VLOOKUP(C21,'CÁLCULO CONDUCTORES DE MT'!$D$17:$BE$261,44,FALSE)="No"),(3*IF(OR(VLOOKUP(C21,'CÁLCULO CONDUCTORES DE MT'!$D$17:$BE$261,7,FALSE)=11400,VLOOKUP(C21,'CÁLCULO CONDUCTORES DE MT'!$D$17:$BE$261,7,FALSE)=13200,VLOOKUP(C21,'CÁLCULO CONDUCTORES DE MT'!$D$17:$BE$261,7,FALSE)=13800),LOOKUP(AZ21,'CONDCUTORES MT'!$A$33:$A$41,'CONDCUTORES MT'!$E$33:$E$41),LOOKUP(AZ21,'CONDCUTORES MT'!$A$20:$A$28,'CONDCUTORES MT'!$E$20:$E$28))     ),"VERIFICAR CONDUCTOR"))))),"--"))</f>
        <v>#N/A</v>
      </c>
      <c r="Y21" s="1133" t="e">
        <f t="shared" si="2"/>
        <v>#N/A</v>
      </c>
      <c r="Z21" s="1134" t="e">
        <f>IF(AW21="AÉREO","--",IF(OR(AW21&lt;&gt;"BANDEJA",AT21="Si"),IF(AB21="--","--",VLOOKUP(BD21,CONDUITS!$A$14:$C$19,3,FALSE)),"--"))</f>
        <v>#N/A</v>
      </c>
      <c r="AA21" s="1135" t="e">
        <f t="shared" si="3"/>
        <v>#N/A</v>
      </c>
      <c r="AB21" s="1136" t="e">
        <f t="shared" si="4"/>
        <v>#N/A</v>
      </c>
      <c r="AC21" s="1137" t="e">
        <f>IF(MOD(MID(K21,1,1),IF(OR(AW21="BANDEJA",AW21="AÉREO"),1,AA21))=0,IF(AW21="AÉREO","--",IF(OR(AW21&lt;&gt;"BANDEJA",AT21="Si"),IF(AB21="EMT",(W21/VLOOKUP(BD21,CONDUITS!$A$14:$W$19,7)*100),IF(AB21="IMC",(W21/VLOOKUP(BD21,CONDUITS!$A$14:$W$19,12)*100),IF(AB21="RMC",(W21/VLOOKUP(BD21,CONDUITS!$A$14:$W$19,17)*100),IF(OR(AB21="PVC",AB21="CONDUIT FLEXIBLE"),(W21/VLOOKUP(BD21,CONDUITS!$A$14:$W$19,22)*100),"--")))),"--")),"NO")</f>
        <v>#N/A</v>
      </c>
      <c r="AD21" s="1138" t="e">
        <f t="shared" si="5"/>
        <v>#N/A</v>
      </c>
      <c r="AE21" s="1135" t="e">
        <f>IF(OR(AW21="BANDEJA",AT21="SI"),(IF((VLOOKUP(C21,'CÁLCULO CONDUCTORES DE MT'!$D$2:$AX$267,33,FALSE))="Monopolar",(IF((VLOOKUP(C21,'CÁLCULO CONDUCTORES DE MT'!$D$2:$AX$267,44,FALSE))="Si",(((VLOOKUP(C21,'CÁLCULO CONDUCTORES DE MT'!$D$2:$AX$267,32,FALSE))*(VLOOKUP(C21,'CÁLCULO CONDUCTORES DE MT'!$D$2:$AX$267,22,FALSE)))+(VLOOKUP(C21,'CÁLCULO CONDUCTORES DE MT'!$D$2:$AX$267,32,FALSE))),((VLOOKUP(C21,'CÁLCULO CONDUCTORES DE MT'!$D$2:$AX$267,32,FALSE))*(VLOOKUP(C21,'CÁLCULO CONDUCTORES DE MT'!$D$2:$AX$267,22,FALSE))))),IF((VLOOKUP(C21,'CÁLCULO CONDUCTORES DE MT'!$D$2:$AX$267,32,FALSE))="Cable Armado",((VLOOKUP(C21,'CÁLCULO CONDUCTORES DE MT'!$D$2:$AX$267,32,FALSE))*(VLOOKUP(C21,'CÁLCULO CONDUCTORES DE MT'!$D$2:$AX$267,22,FALSE))),MID(K21,1,1)))),"--")</f>
        <v>#N/A</v>
      </c>
      <c r="AF21" s="1135" t="e">
        <f>IF(OR(AW21="BANDEJA",AT21="SI"),IF((VLOOKUP(C21,'CÁLCULO CONDUCTORES DE MT'!$D$2:$AX$267,33,FALSE))="Monopolar",(IF((VLOOKUP(C21,'CÁLCULO CONDUCTORES DE MT'!$D$2:$AX$267,44,FALSE))="Si",((((VLOOKUP(C21,'CÁLCULO CONDUCTORES DE MT'!$D$2:$AX$267,32,FALSE))*(VLOOKUP(C21,'CÁLCULO CONDUCTORES DE MT'!$D$2:$AX$267,22,FALSE)))*(IF(OR(VLOOKUP(C21,'CÁLCULO CONDUCTORES DE MT'!$D$17:$BE$261,7,FALSE)=2300,VLOOKUP(C21,'CÁLCULO CONDUCTORES DE MT'!$D$17:$BE$261,7,FALSE)=4160),LOOKUP(AZ21,'CONDCUTORES MT'!$A$20:$A$28,'CONDCUTORES MT'!$E$20:$E$28),IF(OR(VLOOKUP(C21,'CÁLCULO CONDUCTORES DE MT'!$D$17:$BE$261,7,FALSE)=11400,VLOOKUP(C21,'CÁLCULO CONDUCTORES DE MT'!$D$17:$BE$261,7,FALSE)=13200,VLOOKUP(C21,'CÁLCULO CONDUCTORES DE MT'!$D$17:$BE$261,7,FALSE)=13800),LOOKUP(AZ21,'CONDCUTORES MT'!$A$31:$A$41,'CONDCUTORES MT'!$E$31:$E$41),LOOKUP(AZ21,'CONDCUTORES MT'!$A$46:$A$54,'CONDCUTORES MT'!$E$46:$E$54)))))+((VLOOKUP(C21,'CÁLCULO CONDUCTORES DE MT'!$D$2:$AX$267,32,FALSE))*(LOOKUP(BA21,CONDUCTORES!$A$9:$A$62,CONDUCTORES!$F$9:$F$62)))),((AE21)*(IF(OR(VLOOKUP(C21,'CÁLCULO CONDUCTORES DE MT'!$D$17:$BE$261,7,FALSE)=2300,VLOOKUP(C21,'CÁLCULO CONDUCTORES DE MT'!$D$17:$BE$261,7,FALSE)=4160),LOOKUP(AZ21,'CONDCUTORES MT'!$A$20:$A$28,'CONDCUTORES MT'!$E$20:$E$28),IF(OR(VLOOKUP(C21,'CÁLCULO CONDUCTORES DE MT'!$D$17:$BE$261,7,FALSE)=11400,VLOOKUP(C21,'CÁLCULO CONDUCTORES DE MT'!$D$17:$BE$261,7,FALSE)=13200,VLOOKUP(C21,'CÁLCULO CONDUCTORES DE MT'!$D$17:$BE$261,7,FALSE)=13800),LOOKUP(AZ21,'CONDCUTORES MT'!$A$31:$A$41,'CONDCUTORES MT'!$E$31:$E$41),LOOKUP(AZ21,'CONDCUTORES MT'!$A$46:$A$54,'CONDCUTORES MT'!$E$46:$E$54))))))),(IF((VLOOKUP(C21,'CÁLCULO CONDUCTORES DE MT'!$D$2:$AX$267,33,FALSE))="Cable Armado",((AE21)*(LOOKUP(AZ21,'CONDCUTORES MT'!$A$83:$A$86,'CONDCUTORES MT'!$E$83:$E$86))),"N/A"))),"--")</f>
        <v>#N/A</v>
      </c>
      <c r="AG21" s="1139" t="e">
        <f>IF(OR(AW21="BANDEJA",AT21="SI"),IF((VLOOKUP(C21,'CÁLCULO CONDUCTORES DE MT'!$D$2:$AX$267,33,FALSE))="Monopolar",(IF((VLOOKUP(C21,'CÁLCULO CONDUCTORES DE MT'!$D$2:$AX$267,44,FALSE))="Si",((((VLOOKUP(C21,'CÁLCULO CONDUCTORES DE MT'!$D$2:$AX$267,32,FALSE))*(  IF(AS21="Horizontal", VLOOKUP(C21,'CÁLCULO CONDUCTORES DE MT'!$D$2:$AX$267,22,FALSE), IF(OR(VLOOKUP(C21,'CÁLCULO CONDUCTORES DE MT'!$D$2:$AX$267,22,FALSE)=3,VLOOKUP(C21,'CÁLCULO CONDUCTORES DE MT'!$D$2:$AX$267,22,FALSE)=6,VLOOKUP(C21,'CÁLCULO CONDUCTORES DE MT'!$D$2:$AX$267,22,FALSE)=9,VLOOKUP(C21,'CÁLCULO CONDUCTORES DE MT'!$D$2:$AX$267,22,FALSE)=12,VLOOKUP(C21,'CÁLCULO CONDUCTORES DE MT'!$D$2:$AX$267,22,FALSE)=15),((VLOOKUP(C21,'CÁLCULO CONDUCTORES DE MT'!$D$2:$AX$267,22,FALSE))-((VLOOKUP(C21,'CÁLCULO CONDUCTORES DE MT'!$D$2:$AX$267,22,FALSE))/3)) ) ) ))*(IF(OR(VLOOKUP(C21,'CÁLCULO CONDUCTORES DE MT'!$D$17:$BE$261,7,FALSE)=2300,VLOOKUP(C21,'CÁLCULO CONDUCTORES DE MT'!$D$17:$BE$261,7,FALSE)=4160),LOOKUP(AZ21,'CONDCUTORES MT'!$A$20:$A$28,'CONDCUTORES MT'!$D$20:$D$28),IF(OR(VLOOKUP(C21,'CÁLCULO CONDUCTORES DE MT'!$D$17:$BE$261,7,FALSE)=11400,VLOOKUP(C21,'CÁLCULO CONDUCTORES DE MT'!$D$17:$BE$261,7,FALSE)=13200,VLOOKUP(C21,'CÁLCULO CONDUCTORES DE MT'!$D$17:$BE$261,7,FALSE)=13800),LOOKUP(AZ21,'CONDCUTORES MT'!$A$31:$A$41,'CONDCUTORES MT'!$D$31:$D$41),LOOKUP(AZ21,'CONDCUTORES MT'!$A$46:$A$54,'CONDCUTORES MT'!$D$46:$D$54)))))+((VLOOKUP(C21,'CÁLCULO CONDUCTORES DE MT'!$D$2:$AX$267,32,FALSE))*(LOOKUP(AZ21,'CONDCUTORES MT'!$A$46:$A$203,'CONDCUTORES MT'!$D$46:$D$54)))),        (((VLOOKUP(C21,'CÁLCULO CONDUCTORES DE MT'!$D$2:$AX$267,32,FALSE))*   (  IF(AS21="Horizontal", VLOOKUP(C21,'CÁLCULO CONDUCTORES DE MT'!$D$2:$AX$267,22,FALSE), IF(OR(VLOOKUP(C21,'CÁLCULO CONDUCTORES DE MT'!$D$2:$AX$267,22,FALSE)=3,VLOOKUP(C21,'CÁLCULO CONDUCTORES DE MT'!$D$2:$AX$267,22,FALSE)=6,VLOOKUP(C21,'CÁLCULO CONDUCTORES DE MT'!$D$2:$AX$267,22,FALSE)=9,VLOOKUP(C21,'CÁLCULO CONDUCTORES DE MT'!$D$2:$AX$267,22,FALSE)=12,VLOOKUP(C21,'CÁLCULO CONDUCTORES DE MT'!$D$2:$AX$267,22,FALSE)=15),((VLOOKUP(C21,'CÁLCULO CONDUCTORES DE MT'!$D$2:$AX$267,22,FALSE))-((VLOOKUP(C21,'CÁLCULO CONDUCTORES DE MT'!$D$2:$AX$267,22,FALSE))/3)) ) ) )  )*      (IF(OR(VLOOKUP(C21,'CÁLCULO CONDUCTORES DE MT'!$D$17:$BE$261,7,FALSE)=2300,VLOOKUP(C21,'CÁLCULO CONDUCTORES DE MT'!$D$17:$BE$261,7,FALSE)=4160),LOOKUP(AZ21,'CONDCUTORES MT'!$A$20:$A$28,'CONDCUTORES MT'!$D$20:$D$28),IF(OR(VLOOKUP(C21,'CÁLCULO CONDUCTORES DE MT'!$D$17:$BE$261,7,FALSE)=11400,VLOOKUP(C21,'CÁLCULO CONDUCTORES DE MT'!$D$17:$BE$261,7,FALSE)=13200,VLOOKUP(C21,'CÁLCULO CONDUCTORES DE MT'!$D$17:$BE$261,7,FALSE)=13800),LOOKUP(AZ21,'CONDCUTORES MT'!$A$31:$A$41,'CONDCUTORES MT'!$D$31:$D$41),LOOKUP(AZ21,'CONDCUTORES MT'!$A$46:$A$54,'CONDCUTORES MT'!$D$46:$D$54))))      ))),(MID(K21,1,1))*(LOOKUP(AZ21,'CONDCUTORES MT'!$A$83:$A$86,'CONDCUTORES MT'!$D$83:$D$86))),"--")</f>
        <v>#N/A</v>
      </c>
      <c r="AH21" s="1139" t="e">
        <f t="shared" si="6"/>
        <v>#N/A</v>
      </c>
      <c r="AI21" s="1139" t="e">
        <f t="shared" si="7"/>
        <v>#N/A</v>
      </c>
      <c r="AJ21" s="1140" t="e">
        <f t="shared" si="8"/>
        <v>#N/A</v>
      </c>
      <c r="AK21" s="1141" t="e">
        <f t="shared" si="9"/>
        <v>#N/A</v>
      </c>
      <c r="AL21" s="1140" t="e">
        <f t="shared" si="10"/>
        <v>#N/A</v>
      </c>
      <c r="AM21" s="1140" t="e">
        <f t="shared" si="11"/>
        <v>#N/A</v>
      </c>
      <c r="AN21" s="1142" t="e">
        <f t="shared" si="12"/>
        <v>#N/A</v>
      </c>
      <c r="AO21" s="901">
        <v>1</v>
      </c>
      <c r="AP21" s="943" t="s">
        <v>648</v>
      </c>
      <c r="AQ21" s="944" t="s">
        <v>624</v>
      </c>
      <c r="AR21" s="945" t="s">
        <v>629</v>
      </c>
      <c r="AS21" s="945" t="s">
        <v>1158</v>
      </c>
      <c r="AT21" s="906" t="s">
        <v>605</v>
      </c>
      <c r="AU21" s="946" t="s">
        <v>599</v>
      </c>
      <c r="AV21" s="906" t="s">
        <v>605</v>
      </c>
      <c r="AW21" s="946" t="e">
        <f>+VLOOKUP(C21,'CÁLCULO CONDUCTORES DE MT'!$D$2:$AG$263,21,FALSE)</f>
        <v>#N/A</v>
      </c>
      <c r="AX21" s="903" t="e">
        <f>+VLOOKUP(C21,'CÁLCULO CONDUCTORES DE MT'!$D$2:$BE$263,31,FALSE)</f>
        <v>#N/A</v>
      </c>
      <c r="AY21" s="947" t="e">
        <f>IF((VLOOKUP(C21,'CÁLCULO CONDUCTORES DE MT'!$D$2:$BE$263,47,FALSE))="No",LOOKUP((IF(VLOOKUP(C21,'CÁLCULO CONDUCTORES DE MT'!$D$2:$BE$263,15,FALSE)="VER NOTAS",15,VLOOKUP(C21,'CÁLCULO CONDUCTORES DE MT'!$D$2:$BE$263,15,FALSE))),CONDUCTORES!$A$111:$A$131,IF(VLOOKUP(C21,'CÁLCULO CONDUCTORES DE MT'!$D$2:$BE$263,35,FALSE)="Cu",CONDUCTORES!$B$111:$B$131,CONDUCTORES!$C$111:$C$131)),VLOOKUP(C21,'CÁLCULO CONDUCTORES DE MT'!$D$2:$BE$263,47,FALSE))</f>
        <v>#N/A</v>
      </c>
      <c r="AZ21" s="948" t="e">
        <f>VLOOKUP(C21,'CÁLCULO CONDUCTORES DE MT'!$D$2:$BS$263,58,FALSE)</f>
        <v>#N/A</v>
      </c>
      <c r="BA21" s="947" t="e">
        <f>IF((VLOOKUP(C21,'CÁLCULO CONDUCTORES DE MT'!$D$2:$BS$263,33,FALSE))="Monopolar",VLOOKUP(AY21,CONDUCTORES!$B$9:$X$23,23,FALSE)," ")</f>
        <v>#N/A</v>
      </c>
      <c r="BB21" s="949" t="e">
        <f>IF(OR(AW21="BANDEJA",AT21="Si"),IF(AI21="--","  ",IF(OR(AZ21&lt;=10,BA21&lt;=10),(BF21*100)/(AI21*15),(AF21/(VLOOKUP(AI21,CONDUITS!$A$25:$B$37,2,FALSE)))*100)),"  ")</f>
        <v>#N/A</v>
      </c>
      <c r="BC21" s="949" t="str">
        <f>IF(ISERROR(IF(OR(AW21="BANDEJA",AT21="Si"),IF(AI21="--","  ",((AF21)/(VLOOKUP(AI21,CONDUITS!$A$25:$C$37,3,FALSE)))*100),"  "))=TRUE,"",IF(OR(AW21="BANDEJA",AT21="Si"),IF(AI21="--","  ",((AF21)/(VLOOKUP(AI21,CONDUITS!$A$25:$C$37,3,FALSE)))*100),"  "))</f>
        <v/>
      </c>
      <c r="BD21" s="950" t="e">
        <f>(IF(OR(AW21&lt;&gt;"BANDEJA",AT21="Si"),IF(AB21="EMT",(IF(W21&lt;CONDUITS!$F$14,CONDUITS!$A$14,IF(W21&lt;CONDUITS!$F$15,CONDUITS!$A$15,IF(W21&lt;CONDUITS!$F$16,CONDUITS!$A$16,IF(W21&lt;CONDUITS!$F$17,CONDUITS!$A$17,IF(W21&lt;CONDUITS!$F$18,CONDUITS!$A$18,IF(W21&lt;CONDUITS!$F$19,CONDUITS!$A$19,CONDUITS!$A$17))))))),IF(AB21="IMC",(IF(W21&lt;CONDUITS!$K$14,CONDUITS!$A$14,IF(W21&lt;CONDUITS!$K$15,CONDUITS!$A$15,IF(W21&lt;CONDUITS!$K$16,CONDUITS!$A$16,IF(W21&lt;CONDUITS!$K$17,CONDUITS!$A$17,IF(W21&lt;CONDUITS!$K$18,CONDUITS!$A$18,IF(W21&lt;CONDUITS!$K$19,CONDUITS!$A$19,CONDUITS!$A$17))))))),IF(AB21="RMC",(IF(W21&lt;CONDUITS!$P$14,CONDUITS!$A$14,IF(W21&lt;CONDUITS!$P$15,CONDUITS!$A$15,IF(W21&lt;CONDUITS!$P$16,CONDUITS!$A$16,IF(W21&lt;CONDUITS!$P$17,CONDUITS!$A$17,IF(W21&lt;CONDUITS!$P$18,CONDUITS!$A$18,IF(W21&lt;CONDUITS!$P$19,CONDUITS!$A$19,CONDUITS!$A$18))))))),IF(OR(AB21="PVC",AB21="CONDUIT FLEXIBLE"),(IF(W21&lt;CONDUITS!$U$14,CONDUITS!$A$14,IF(W21&lt;CONDUITS!$U$15,CONDUITS!$A$15,IF(W21&lt;CONDUITS!$U$16,CONDUITS!$A$16,IF(W21&lt;CONDUITS!$U$17,CONDUITS!$A$17,IF(W21&lt;CONDUITS!$U$18,CONDUITS!$A$18,IF(W21&lt;CONDUITS!$U$19,CONDUITS!$A$19,CONDUITS!$A$18))))))),"NO")))),"  "))</f>
        <v>#N/A</v>
      </c>
      <c r="BE21" s="937">
        <f t="shared" si="0"/>
        <v>2</v>
      </c>
      <c r="BF21" s="942" t="e">
        <f>IF(OR(AW21="BANDEJA",AT21="SI"),IF((VLOOKUP(C21,'CÁLCULO CONDUCTORES DE MT'!$D$2:$AX$267,33,FALSE))="Monopolar",(IF((VLOOKUP(C21,'CÁLCULO CONDUCTORES DE MT'!$D$2:$AX$267,44,FALSE))="Si",((((VLOOKUP(C21,'CÁLCULO CONDUCTORES DE MT'!$D$2:$AX$267,32,FALSE))*(  VLOOKUP(C21,'CÁLCULO CONDUCTORES DE MT'!$D$2:$AX$267,22,FALSE)))*(IF(OR(VLOOKUP(C21,'CÁLCULO CONDUCTORES DE MT'!$D$17:$BE$261,7,FALSE)=2300,VLOOKUP(C21,'CÁLCULO CONDUCTORES DE MT'!$D$17:$BE$261,7,FALSE)=4160),LOOKUP(AZ21,'CONDCUTORES MT'!$A$20:$A$28,'CONDCUTORES MT'!$D$20:$D$28),IF(OR(VLOOKUP(C21,'CÁLCULO CONDUCTORES DE MT'!$D$17:$BE$261,7,FALSE)=11400,VLOOKUP(C21,'CÁLCULO CONDUCTORES DE MT'!$D$17:$BE$261,7,FALSE)=13200,VLOOKUP(C21,'CÁLCULO CONDUCTORES DE MT'!$D$17:$BE$261,7,FALSE)=13800),LOOKUP(AZ21,'CONDCUTORES MT'!$A$31:$A$41,'CONDCUTORES MT'!$D$31:$D$41),LOOKUP(AZ21,'CONDCUTORES MT'!$A$46:$A$54,'CONDCUTORES MT'!$D$46:$D$54)))))+((VLOOKUP(C21,'CÁLCULO CONDUCTORES DE MT'!$D$2:$AX$267,32,FALSE))*(LOOKUP(AZ21,'CONDCUTORES MT'!$A$46:$A$203,'CONDCUTORES MT'!$D$46:$D$54)))),        (((VLOOKUP(C21,'CÁLCULO CONDUCTORES DE MT'!$D$2:$AX$267,32,FALSE))*   (  VLOOKUP(C21,'CÁLCULO CONDUCTORES DE MT'!$D$2:$AX$267,22,FALSE))  )*      (IF(OR(VLOOKUP(C21,'CÁLCULO CONDUCTORES DE MT'!$D$17:$BE$261,7,FALSE)=2300,VLOOKUP(C21,'CÁLCULO CONDUCTORES DE MT'!$D$17:$BE$261,7,FALSE)=4160),LOOKUP(AZ21,'CONDCUTORES MT'!$A$20:$A$28,'CONDCUTORES MT'!$D$20:$D$28),IF(OR(VLOOKUP(C21,'CÁLCULO CONDUCTORES DE MT'!$D$17:$BE$261,7,FALSE)=11400,VLOOKUP(C21,'CÁLCULO CONDUCTORES DE MT'!$D$17:$BE$261,7,FALSE)=13200,VLOOKUP(C21,'CÁLCULO CONDUCTORES DE MT'!$D$17:$BE$261,7,FALSE)=13800),LOOKUP(AZ21,'CONDCUTORES MT'!$A$31:$A$41,'CONDCUTORES MT'!$D$31:$D$41),LOOKUP(AZ21,'CONDCUTORES MT'!$A$46:$A$54,'CONDCUTORES MT'!$D$46:$D$54))))      ))),(MID(K21,1,1))*(LOOKUP(AZ21,'CONDCUTORES MT'!$A$83:$A$86,'CONDCUTORES MT'!$D$83:$D$86))),"--")</f>
        <v>#N/A</v>
      </c>
      <c r="BG21" s="951"/>
      <c r="BH21" s="952" t="s">
        <v>624</v>
      </c>
      <c r="BI21" s="1318"/>
      <c r="BJ21" s="464"/>
      <c r="BK21" s="1322"/>
      <c r="BL21" s="1322"/>
      <c r="BM21" s="1322"/>
      <c r="BN21" s="1322"/>
      <c r="BO21" s="1322"/>
      <c r="BP21" s="1322"/>
      <c r="BQ21" s="1322"/>
      <c r="BR21" s="1322"/>
      <c r="BS21" s="1322"/>
      <c r="BT21" s="1322"/>
      <c r="BU21" s="1322"/>
      <c r="BV21" s="1322"/>
      <c r="BW21" s="1322"/>
      <c r="BX21" s="1322"/>
      <c r="BY21" s="1322"/>
      <c r="BZ21" s="1322"/>
      <c r="CA21" s="1322"/>
      <c r="CB21" s="1322"/>
      <c r="CC21" s="1322"/>
      <c r="CD21" s="1322"/>
      <c r="CE21" s="1322"/>
      <c r="CF21" s="1322"/>
      <c r="CG21" s="1322"/>
      <c r="CH21" s="1322"/>
      <c r="CI21" s="1322"/>
      <c r="CJ21" s="1322"/>
      <c r="CK21" s="1322"/>
    </row>
    <row r="22" spans="1:89" s="580" customFormat="1" ht="32.1" hidden="1" customHeight="1" x14ac:dyDescent="0.25">
      <c r="A22" s="1185">
        <v>7</v>
      </c>
      <c r="B22" s="1146" t="str">
        <f>+_xlfn.CONCAT($B$18,".",SUBTOTAL(103,$AO$19:AO22))</f>
        <v>4.2.0</v>
      </c>
      <c r="C22" s="1823" t="e">
        <f>+VLOOKUP(A22,'CÁLCULO CONDUCTORES DE MT'!$B$17:$BR$264,3,FALSE)</f>
        <v>#N/A</v>
      </c>
      <c r="D22" s="1824"/>
      <c r="E22" s="1825"/>
      <c r="F22" s="1823" t="e">
        <f>+VLOOKUP(C22,'CÁLCULO CONDUCTORES DE MT'!$D$2:$AG$263,2,FALSE)</f>
        <v>#N/A</v>
      </c>
      <c r="G22" s="1824"/>
      <c r="H22" s="1824"/>
      <c r="I22" s="1824"/>
      <c r="J22" s="1825"/>
      <c r="K22" s="1819" t="e">
        <f>+VLOOKUP(C22,'CÁLCULO CONDUCTORES DE MT'!$D$2:$AG$263,18,FALSE)</f>
        <v>#N/A</v>
      </c>
      <c r="L22" s="1820"/>
      <c r="M22" s="1820"/>
      <c r="N22" s="1820"/>
      <c r="O22" s="1821"/>
      <c r="P22" s="1816" t="e">
        <f>+VLOOKUP(C22,'CÁLCULO CONDUCTORES DE MT'!$D$2:$AG$263,17,FALSE)</f>
        <v>#N/A</v>
      </c>
      <c r="Q22" s="1817"/>
      <c r="R22" s="1817"/>
      <c r="S22" s="1817"/>
      <c r="T22" s="1817"/>
      <c r="U22" s="1818"/>
      <c r="V22" s="1132" t="e">
        <f>+VLOOKUP(C22,'CÁLCULO CONDUCTORES DE MT'!$D$2:$AG$269,4,FALSE)</f>
        <v>#N/A</v>
      </c>
      <c r="W22" s="1133" t="e">
        <f t="shared" si="1"/>
        <v>#N/A</v>
      </c>
      <c r="X22" s="1133" t="s">
        <v>608</v>
      </c>
      <c r="Y22" s="1133" t="e">
        <f t="shared" si="2"/>
        <v>#N/A</v>
      </c>
      <c r="Z22" s="1134" t="e">
        <f>IF(AW22="AÉREO","--",IF(OR(AW22&lt;&gt;"BANDEJA",AT22="Si"),IF(AB22="--","--",VLOOKUP(BD22,CONDUITS!$A$14:$C$19,3,FALSE)),"--"))</f>
        <v>#N/A</v>
      </c>
      <c r="AA22" s="1135" t="e">
        <f t="shared" si="3"/>
        <v>#N/A</v>
      </c>
      <c r="AB22" s="1136" t="e">
        <f t="shared" si="4"/>
        <v>#N/A</v>
      </c>
      <c r="AC22" s="1137" t="e">
        <f>IF(MOD(MID(K22,1,1),IF(OR(AW22="BANDEJA",AW22="AÉREO"),1,AA22))=0,IF(AW22="AÉREO","--",IF(OR(AW22&lt;&gt;"BANDEJA",AT22="Si"),IF(AB22="EMT",(W22/VLOOKUP(BD22,CONDUITS!$A$14:$W$19,7)*100),IF(AB22="IMC",(W22/VLOOKUP(BD22,CONDUITS!$A$14:$W$19,12)*100),IF(AB22="RMC",(W22/VLOOKUP(BD22,CONDUITS!$A$14:$W$19,17)*100),IF(OR(AB22="PVC",AB22="CONDUIT FLEXIBLE"),(W22/VLOOKUP(BD22,CONDUITS!$A$14:$W$19,22)*100),"--")))),"--")),"NO")</f>
        <v>#N/A</v>
      </c>
      <c r="AD22" s="1138" t="e">
        <f t="shared" si="5"/>
        <v>#N/A</v>
      </c>
      <c r="AE22" s="1135" t="e">
        <f>IF(OR(AW22="BANDEJA",AT22="SI"),(IF((VLOOKUP(C22,'CÁLCULO CONDUCTORES DE MT'!$D$2:$AX$267,33,FALSE))="Monopolar",(IF((VLOOKUP(C22,'CÁLCULO CONDUCTORES DE MT'!$D$2:$AX$267,44,FALSE))="Si",(((VLOOKUP(C22,'CÁLCULO CONDUCTORES DE MT'!$D$2:$AX$267,32,FALSE))*(VLOOKUP(C22,'CÁLCULO CONDUCTORES DE MT'!$D$2:$AX$267,22,FALSE)))+(VLOOKUP(C22,'CÁLCULO CONDUCTORES DE MT'!$D$2:$AX$267,32,FALSE))),((VLOOKUP(C22,'CÁLCULO CONDUCTORES DE MT'!$D$2:$AX$267,32,FALSE))*(VLOOKUP(C22,'CÁLCULO CONDUCTORES DE MT'!$D$2:$AX$267,22,FALSE))))),IF((VLOOKUP(C22,'CÁLCULO CONDUCTORES DE MT'!$D$2:$AX$267,32,FALSE))="Cable Armado",((VLOOKUP(C22,'CÁLCULO CONDUCTORES DE MT'!$D$2:$AX$267,32,FALSE))*(VLOOKUP(C22,'CÁLCULO CONDUCTORES DE MT'!$D$2:$AX$267,22,FALSE))),MID(K22,1,1)))),"--")</f>
        <v>#N/A</v>
      </c>
      <c r="AF22" s="1135" t="e">
        <f>IF(OR(AW22="BANDEJA",AT22="SI"),IF((VLOOKUP(C22,'CÁLCULO CONDUCTORES DE MT'!$D$2:$AX$267,33,FALSE))="Monopolar",(IF((VLOOKUP(C22,'CÁLCULO CONDUCTORES DE MT'!$D$2:$AX$267,44,FALSE))="Si",((((VLOOKUP(C22,'CÁLCULO CONDUCTORES DE MT'!$D$2:$AX$267,32,FALSE))*(VLOOKUP(C22,'CÁLCULO CONDUCTORES DE MT'!$D$2:$AX$267,22,FALSE)))*(IF(OR(VLOOKUP(C22,'CÁLCULO CONDUCTORES DE MT'!$D$17:$BE$261,7,FALSE)=2300,VLOOKUP(C22,'CÁLCULO CONDUCTORES DE MT'!$D$17:$BE$261,7,FALSE)=4160),LOOKUP(AZ22,'CONDCUTORES MT'!$A$20:$A$28,'CONDCUTORES MT'!$E$20:$E$28),IF(OR(VLOOKUP(C22,'CÁLCULO CONDUCTORES DE MT'!$D$17:$BE$261,7,FALSE)=11400,VLOOKUP(C22,'CÁLCULO CONDUCTORES DE MT'!$D$17:$BE$261,7,FALSE)=13200,VLOOKUP(C22,'CÁLCULO CONDUCTORES DE MT'!$D$17:$BE$261,7,FALSE)=13800),LOOKUP(AZ22,'CONDCUTORES MT'!$A$31:$A$41,'CONDCUTORES MT'!$E$31:$E$41),LOOKUP(AZ22,'CONDCUTORES MT'!$A$46:$A$54,'CONDCUTORES MT'!$E$46:$E$54)))))+((VLOOKUP(C22,'CÁLCULO CONDUCTORES DE MT'!$D$2:$AX$267,32,FALSE))*(LOOKUP(BA22,CONDUCTORES!$A$9:$A$62,CONDUCTORES!$F$9:$F$62)))),((AE22)*(IF(OR(VLOOKUP(C22,'CÁLCULO CONDUCTORES DE MT'!$D$17:$BE$261,7,FALSE)=2300,VLOOKUP(C22,'CÁLCULO CONDUCTORES DE MT'!$D$17:$BE$261,7,FALSE)=4160),LOOKUP(AZ22,'CONDCUTORES MT'!$A$20:$A$28,'CONDCUTORES MT'!$E$20:$E$28),IF(OR(VLOOKUP(C22,'CÁLCULO CONDUCTORES DE MT'!$D$17:$BE$261,7,FALSE)=11400,VLOOKUP(C22,'CÁLCULO CONDUCTORES DE MT'!$D$17:$BE$261,7,FALSE)=13200,VLOOKUP(C22,'CÁLCULO CONDUCTORES DE MT'!$D$17:$BE$261,7,FALSE)=13800),LOOKUP(AZ22,'CONDCUTORES MT'!$A$31:$A$41,'CONDCUTORES MT'!$E$31:$E$41),LOOKUP(AZ22,'CONDCUTORES MT'!$A$46:$A$54,'CONDCUTORES MT'!$E$46:$E$54))))))),(IF((VLOOKUP(C22,'CÁLCULO CONDUCTORES DE MT'!$D$2:$AX$267,33,FALSE))="Cable Armado",((AE22)*(LOOKUP(AZ22,'CONDCUTORES MT'!$A$83:$A$86,'CONDCUTORES MT'!$E$83:$E$86))),"N/A"))),"--")</f>
        <v>#N/A</v>
      </c>
      <c r="AG22" s="1139" t="e">
        <f>IF(OR(AW22="BANDEJA",AT22="SI"),IF((VLOOKUP(C22,'CÁLCULO CONDUCTORES DE MT'!$D$2:$AX$267,33,FALSE))="Monopolar",(IF((VLOOKUP(C22,'CÁLCULO CONDUCTORES DE MT'!$D$2:$AX$267,44,FALSE))="Si",((((VLOOKUP(C22,'CÁLCULO CONDUCTORES DE MT'!$D$2:$AX$267,32,FALSE))*(  IF(AS22="Horizontal", VLOOKUP(C22,'CÁLCULO CONDUCTORES DE MT'!$D$2:$AX$267,22,FALSE), IF(OR(VLOOKUP(C22,'CÁLCULO CONDUCTORES DE MT'!$D$2:$AX$267,22,FALSE)=3,VLOOKUP(C22,'CÁLCULO CONDUCTORES DE MT'!$D$2:$AX$267,22,FALSE)=6,VLOOKUP(C22,'CÁLCULO CONDUCTORES DE MT'!$D$2:$AX$267,22,FALSE)=9,VLOOKUP(C22,'CÁLCULO CONDUCTORES DE MT'!$D$2:$AX$267,22,FALSE)=12,VLOOKUP(C22,'CÁLCULO CONDUCTORES DE MT'!$D$2:$AX$267,22,FALSE)=15),((VLOOKUP(C22,'CÁLCULO CONDUCTORES DE MT'!$D$2:$AX$267,22,FALSE))-((VLOOKUP(C22,'CÁLCULO CONDUCTORES DE MT'!$D$2:$AX$267,22,FALSE))/3)) ) ) ))*(IF(OR(VLOOKUP(C22,'CÁLCULO CONDUCTORES DE MT'!$D$17:$BE$261,7,FALSE)=2300,VLOOKUP(C22,'CÁLCULO CONDUCTORES DE MT'!$D$17:$BE$261,7,FALSE)=4160),LOOKUP(AZ22,'CONDCUTORES MT'!$A$20:$A$28,'CONDCUTORES MT'!$D$20:$D$28),IF(OR(VLOOKUP(C22,'CÁLCULO CONDUCTORES DE MT'!$D$17:$BE$261,7,FALSE)=11400,VLOOKUP(C22,'CÁLCULO CONDUCTORES DE MT'!$D$17:$BE$261,7,FALSE)=13200,VLOOKUP(C22,'CÁLCULO CONDUCTORES DE MT'!$D$17:$BE$261,7,FALSE)=13800),LOOKUP(AZ22,'CONDCUTORES MT'!$A$31:$A$41,'CONDCUTORES MT'!$D$31:$D$41),LOOKUP(AZ22,'CONDCUTORES MT'!$A$46:$A$54,'CONDCUTORES MT'!$D$46:$D$54)))))+((VLOOKUP(C22,'CÁLCULO CONDUCTORES DE MT'!$D$2:$AX$267,32,FALSE))*(LOOKUP(AZ22,'CONDCUTORES MT'!$A$46:$A$203,'CONDCUTORES MT'!$D$46:$D$54)))),        (((VLOOKUP(C22,'CÁLCULO CONDUCTORES DE MT'!$D$2:$AX$267,32,FALSE))*   (  IF(AS22="Horizontal", VLOOKUP(C22,'CÁLCULO CONDUCTORES DE MT'!$D$2:$AX$267,22,FALSE), IF(OR(VLOOKUP(C22,'CÁLCULO CONDUCTORES DE MT'!$D$2:$AX$267,22,FALSE)=3,VLOOKUP(C22,'CÁLCULO CONDUCTORES DE MT'!$D$2:$AX$267,22,FALSE)=6,VLOOKUP(C22,'CÁLCULO CONDUCTORES DE MT'!$D$2:$AX$267,22,FALSE)=9,VLOOKUP(C22,'CÁLCULO CONDUCTORES DE MT'!$D$2:$AX$267,22,FALSE)=12,VLOOKUP(C22,'CÁLCULO CONDUCTORES DE MT'!$D$2:$AX$267,22,FALSE)=15),((VLOOKUP(C22,'CÁLCULO CONDUCTORES DE MT'!$D$2:$AX$267,22,FALSE))-((VLOOKUP(C22,'CÁLCULO CONDUCTORES DE MT'!$D$2:$AX$267,22,FALSE))/3)) ) ) )  )*      (IF(OR(VLOOKUP(C22,'CÁLCULO CONDUCTORES DE MT'!$D$17:$BE$261,7,FALSE)=2300,VLOOKUP(C22,'CÁLCULO CONDUCTORES DE MT'!$D$17:$BE$261,7,FALSE)=4160),LOOKUP(AZ22,'CONDCUTORES MT'!$A$20:$A$28,'CONDCUTORES MT'!$D$20:$D$28),IF(OR(VLOOKUP(C22,'CÁLCULO CONDUCTORES DE MT'!$D$17:$BE$261,7,FALSE)=11400,VLOOKUP(C22,'CÁLCULO CONDUCTORES DE MT'!$D$17:$BE$261,7,FALSE)=13200,VLOOKUP(C22,'CÁLCULO CONDUCTORES DE MT'!$D$17:$BE$261,7,FALSE)=13800),LOOKUP(AZ22,'CONDCUTORES MT'!$A$31:$A$41,'CONDCUTORES MT'!$D$31:$D$41),LOOKUP(AZ22,'CONDCUTORES MT'!$A$46:$A$54,'CONDCUTORES MT'!$D$46:$D$54))))      ))),(MID(K22,1,1))*(LOOKUP(AZ22,'CONDCUTORES MT'!$A$83:$A$86,'CONDCUTORES MT'!$D$83:$D$86))),"--")</f>
        <v>#N/A</v>
      </c>
      <c r="AH22" s="1139" t="e">
        <f t="shared" si="6"/>
        <v>#N/A</v>
      </c>
      <c r="AI22" s="1139" t="e">
        <f t="shared" si="7"/>
        <v>#N/A</v>
      </c>
      <c r="AJ22" s="1140" t="e">
        <f t="shared" si="8"/>
        <v>#N/A</v>
      </c>
      <c r="AK22" s="1141" t="e">
        <f t="shared" si="9"/>
        <v>#N/A</v>
      </c>
      <c r="AL22" s="1140" t="e">
        <f t="shared" si="10"/>
        <v>#N/A</v>
      </c>
      <c r="AM22" s="1140" t="e">
        <f t="shared" si="11"/>
        <v>#N/A</v>
      </c>
      <c r="AN22" s="1142" t="e">
        <f t="shared" si="12"/>
        <v>#N/A</v>
      </c>
      <c r="AO22" s="901">
        <v>1</v>
      </c>
      <c r="AP22" s="943" t="s">
        <v>648</v>
      </c>
      <c r="AQ22" s="944" t="s">
        <v>624</v>
      </c>
      <c r="AR22" s="945" t="s">
        <v>629</v>
      </c>
      <c r="AS22" s="945" t="s">
        <v>1158</v>
      </c>
      <c r="AT22" s="906" t="s">
        <v>605</v>
      </c>
      <c r="AU22" s="946" t="s">
        <v>599</v>
      </c>
      <c r="AV22" s="906" t="s">
        <v>605</v>
      </c>
      <c r="AW22" s="946" t="e">
        <f>+VLOOKUP(C22,'CÁLCULO CONDUCTORES DE MT'!$D$2:$AG$263,21,FALSE)</f>
        <v>#N/A</v>
      </c>
      <c r="AX22" s="903" t="e">
        <f>+VLOOKUP(C22,'CÁLCULO CONDUCTORES DE MT'!$D$2:$BE$263,31,FALSE)</f>
        <v>#N/A</v>
      </c>
      <c r="AY22" s="947" t="e">
        <f>IF((VLOOKUP(C22,'CÁLCULO CONDUCTORES DE MT'!$D$2:$BE$263,47,FALSE))="No",LOOKUP((IF(VLOOKUP(C22,'CÁLCULO CONDUCTORES DE MT'!$D$2:$BE$263,15,FALSE)="VER NOTAS",15,VLOOKUP(C22,'CÁLCULO CONDUCTORES DE MT'!$D$2:$BE$263,15,FALSE))),CONDUCTORES!$A$111:$A$131,IF(VLOOKUP(C22,'CÁLCULO CONDUCTORES DE MT'!$D$2:$BE$263,35,FALSE)="Cu",CONDUCTORES!$B$111:$B$131,CONDUCTORES!$C$111:$C$131)),VLOOKUP(C22,'CÁLCULO CONDUCTORES DE MT'!$D$2:$BE$263,47,FALSE))</f>
        <v>#N/A</v>
      </c>
      <c r="AZ22" s="948" t="e">
        <f>VLOOKUP(C22,'CÁLCULO CONDUCTORES DE MT'!$D$2:$BS$263,58,FALSE)</f>
        <v>#N/A</v>
      </c>
      <c r="BA22" s="947" t="e">
        <f>IF((VLOOKUP(C22,'CÁLCULO CONDUCTORES DE MT'!$D$2:$BS$263,33,FALSE))="Monopolar",VLOOKUP(AY22,CONDUCTORES!$B$9:$X$23,23,FALSE)," ")</f>
        <v>#N/A</v>
      </c>
      <c r="BB22" s="949" t="e">
        <f>IF(OR(AW22="BANDEJA",AT22="Si"),IF(AI22="--","  ",IF(OR(AZ22&lt;=10,BA22&lt;=10),(BF22*100)/(AI22*15),(AF22/(VLOOKUP(AI22,CONDUITS!$A$25:$B$37,2,FALSE)))*100)),"  ")</f>
        <v>#N/A</v>
      </c>
      <c r="BC22" s="949" t="str">
        <f>IF(ISERROR(IF(OR(AW22="BANDEJA",AT22="Si"),IF(AI22="--","  ",((AF22)/(VLOOKUP(AI22,CONDUITS!$A$25:$C$37,3,FALSE)))*100),"  "))=TRUE,"",IF(OR(AW22="BANDEJA",AT22="Si"),IF(AI22="--","  ",((AF22)/(VLOOKUP(AI22,CONDUITS!$A$25:$C$37,3,FALSE)))*100),"  "))</f>
        <v/>
      </c>
      <c r="BD22" s="950" t="e">
        <f>(IF(OR(AW22&lt;&gt;"BANDEJA",AT22="Si"),IF(AB22="EMT",(IF(W22&lt;CONDUITS!$F$14,CONDUITS!$A$14,IF(W22&lt;CONDUITS!$F$15,CONDUITS!$A$15,IF(W22&lt;CONDUITS!$F$16,CONDUITS!$A$16,IF(W22&lt;CONDUITS!$F$17,CONDUITS!$A$17,IF(W22&lt;CONDUITS!$F$18,CONDUITS!$A$18,IF(W22&lt;CONDUITS!$F$19,CONDUITS!$A$19,CONDUITS!$A$17))))))),IF(AB22="IMC",(IF(W22&lt;CONDUITS!$K$14,CONDUITS!$A$14,IF(W22&lt;CONDUITS!$K$15,CONDUITS!$A$15,IF(W22&lt;CONDUITS!$K$16,CONDUITS!$A$16,IF(W22&lt;CONDUITS!$K$17,CONDUITS!$A$17,IF(W22&lt;CONDUITS!$K$18,CONDUITS!$A$18,IF(W22&lt;CONDUITS!$K$19,CONDUITS!$A$19,CONDUITS!$A$17))))))),IF(AB22="RMC",(IF(W22&lt;CONDUITS!$P$14,CONDUITS!$A$14,IF(W22&lt;CONDUITS!$P$15,CONDUITS!$A$15,IF(W22&lt;CONDUITS!$P$16,CONDUITS!$A$16,IF(W22&lt;CONDUITS!$P$17,CONDUITS!$A$17,IF(W22&lt;CONDUITS!$P$18,CONDUITS!$A$18,IF(W22&lt;CONDUITS!$P$19,CONDUITS!$A$19,CONDUITS!$A$18))))))),IF(OR(AB22="PVC",AB22="CONDUIT FLEXIBLE"),(IF(W22&lt;CONDUITS!$U$14,CONDUITS!$A$14,IF(W22&lt;CONDUITS!$U$15,CONDUITS!$A$15,IF(W22&lt;CONDUITS!$U$16,CONDUITS!$A$16,IF(W22&lt;CONDUITS!$U$17,CONDUITS!$A$17,IF(W22&lt;CONDUITS!$U$18,CONDUITS!$A$18,IF(W22&lt;CONDUITS!$U$19,CONDUITS!$A$19,CONDUITS!$A$18))))))),"NO")))),"  "))</f>
        <v>#N/A</v>
      </c>
      <c r="BE22" s="937">
        <f t="shared" si="0"/>
        <v>2</v>
      </c>
      <c r="BF22" s="942" t="e">
        <f>IF(OR(AW22="BANDEJA",AT22="SI"),IF((VLOOKUP(C22,'CÁLCULO CONDUCTORES DE MT'!$D$2:$AX$267,33,FALSE))="Monopolar",(IF((VLOOKUP(C22,'CÁLCULO CONDUCTORES DE MT'!$D$2:$AX$267,44,FALSE))="Si",((((VLOOKUP(C22,'CÁLCULO CONDUCTORES DE MT'!$D$2:$AX$267,32,FALSE))*(  VLOOKUP(C22,'CÁLCULO CONDUCTORES DE MT'!$D$2:$AX$267,22,FALSE)))*(IF(OR(VLOOKUP(C22,'CÁLCULO CONDUCTORES DE MT'!$D$17:$BE$261,7,FALSE)=2300,VLOOKUP(C22,'CÁLCULO CONDUCTORES DE MT'!$D$17:$BE$261,7,FALSE)=4160),LOOKUP(AZ22,'CONDCUTORES MT'!$A$20:$A$28,'CONDCUTORES MT'!$D$20:$D$28),IF(OR(VLOOKUP(C22,'CÁLCULO CONDUCTORES DE MT'!$D$17:$BE$261,7,FALSE)=11400,VLOOKUP(C22,'CÁLCULO CONDUCTORES DE MT'!$D$17:$BE$261,7,FALSE)=13200,VLOOKUP(C22,'CÁLCULO CONDUCTORES DE MT'!$D$17:$BE$261,7,FALSE)=13800),LOOKUP(AZ22,'CONDCUTORES MT'!$A$31:$A$41,'CONDCUTORES MT'!$D$31:$D$41),LOOKUP(AZ22,'CONDCUTORES MT'!$A$46:$A$54,'CONDCUTORES MT'!$D$46:$D$54)))))+((VLOOKUP(C22,'CÁLCULO CONDUCTORES DE MT'!$D$2:$AX$267,32,FALSE))*(LOOKUP(AZ22,'CONDCUTORES MT'!$A$46:$A$203,'CONDCUTORES MT'!$D$46:$D$54)))),        (((VLOOKUP(C22,'CÁLCULO CONDUCTORES DE MT'!$D$2:$AX$267,32,FALSE))*   (  VLOOKUP(C22,'CÁLCULO CONDUCTORES DE MT'!$D$2:$AX$267,22,FALSE))  )*      (IF(OR(VLOOKUP(C22,'CÁLCULO CONDUCTORES DE MT'!$D$17:$BE$261,7,FALSE)=2300,VLOOKUP(C22,'CÁLCULO CONDUCTORES DE MT'!$D$17:$BE$261,7,FALSE)=4160),LOOKUP(AZ22,'CONDCUTORES MT'!$A$20:$A$28,'CONDCUTORES MT'!$D$20:$D$28),IF(OR(VLOOKUP(C22,'CÁLCULO CONDUCTORES DE MT'!$D$17:$BE$261,7,FALSE)=11400,VLOOKUP(C22,'CÁLCULO CONDUCTORES DE MT'!$D$17:$BE$261,7,FALSE)=13200,VLOOKUP(C22,'CÁLCULO CONDUCTORES DE MT'!$D$17:$BE$261,7,FALSE)=13800),LOOKUP(AZ22,'CONDCUTORES MT'!$A$31:$A$41,'CONDCUTORES MT'!$D$31:$D$41),LOOKUP(AZ22,'CONDCUTORES MT'!$A$46:$A$54,'CONDCUTORES MT'!$D$46:$D$54))))      ))),(MID(K22,1,1))*(LOOKUP(AZ22,'CONDCUTORES MT'!$A$83:$A$86,'CONDCUTORES MT'!$D$83:$D$86))),"--")</f>
        <v>#N/A</v>
      </c>
      <c r="BG22" s="951"/>
      <c r="BH22" s="952" t="s">
        <v>624</v>
      </c>
      <c r="BI22" s="1318"/>
      <c r="BJ22" s="464"/>
      <c r="BK22" s="1322"/>
      <c r="BL22" s="1322"/>
      <c r="BM22" s="1322"/>
      <c r="BN22" s="1322"/>
      <c r="BO22" s="1322"/>
      <c r="BP22" s="1322"/>
      <c r="BQ22" s="1322"/>
      <c r="BR22" s="1322"/>
      <c r="BS22" s="1322"/>
      <c r="BT22" s="1322"/>
      <c r="BU22" s="1322"/>
      <c r="BV22" s="1322"/>
      <c r="BW22" s="1322"/>
      <c r="BX22" s="1322"/>
      <c r="BY22" s="1322"/>
      <c r="BZ22" s="1322"/>
      <c r="CA22" s="1322"/>
      <c r="CB22" s="1322"/>
      <c r="CC22" s="1322"/>
      <c r="CD22" s="1322"/>
      <c r="CE22" s="1322"/>
      <c r="CF22" s="1322"/>
      <c r="CG22" s="1322"/>
      <c r="CH22" s="1322"/>
      <c r="CI22" s="1322"/>
      <c r="CJ22" s="1322"/>
      <c r="CK22" s="1322"/>
    </row>
    <row r="23" spans="1:89" s="580" customFormat="1" ht="32.1" hidden="1" customHeight="1" x14ac:dyDescent="0.25">
      <c r="A23" s="1185">
        <v>8</v>
      </c>
      <c r="B23" s="1146" t="str">
        <f>+_xlfn.CONCAT($B$18,".",SUBTOTAL(103,$AO$19:AO23))</f>
        <v>4.2.0</v>
      </c>
      <c r="C23" s="1823" t="e">
        <f>+VLOOKUP(A23,'CÁLCULO CONDUCTORES DE MT'!$B$17:$BR$264,3,FALSE)</f>
        <v>#N/A</v>
      </c>
      <c r="D23" s="1824"/>
      <c r="E23" s="1825"/>
      <c r="F23" s="1823" t="e">
        <f>+VLOOKUP(C23,'CÁLCULO CONDUCTORES DE MT'!$D$2:$AG$263,2,FALSE)</f>
        <v>#N/A</v>
      </c>
      <c r="G23" s="1824"/>
      <c r="H23" s="1824"/>
      <c r="I23" s="1824"/>
      <c r="J23" s="1825"/>
      <c r="K23" s="1819" t="e">
        <f>+VLOOKUP(C23,'CÁLCULO CONDUCTORES DE MT'!$D$2:$AG$263,18,FALSE)</f>
        <v>#N/A</v>
      </c>
      <c r="L23" s="1820"/>
      <c r="M23" s="1820"/>
      <c r="N23" s="1820"/>
      <c r="O23" s="1821"/>
      <c r="P23" s="1816" t="e">
        <f>+VLOOKUP(C23,'CÁLCULO CONDUCTORES DE MT'!$D$2:$AG$263,17,FALSE)</f>
        <v>#N/A</v>
      </c>
      <c r="Q23" s="1817"/>
      <c r="R23" s="1817"/>
      <c r="S23" s="1817"/>
      <c r="T23" s="1817"/>
      <c r="U23" s="1818"/>
      <c r="V23" s="1132" t="e">
        <f>+VLOOKUP(C23,'CÁLCULO CONDUCTORES DE MT'!$D$2:$AG$269,4,FALSE)</f>
        <v>#N/A</v>
      </c>
      <c r="W23" s="1133" t="e">
        <f t="shared" si="1"/>
        <v>#N/A</v>
      </c>
      <c r="X23" s="1133" t="e">
        <f>IF(AW23="AÉREO","--",IF(OR(AW23&lt;&gt;"BANDEJA",AT23="Si"),IF(VLOOKUP(C23,'CÁLCULO CONDUCTORES DE MT'!$D$17:$BE$261,41,FALSE)="M",LOOKUP(AZ23,'CONDCUTORES MT'!$A$20:$A$28,'CONDCUTORES MT'!$X$20:$X$28),IF(VLOOKUP(C23,'CÁLCULO CONDUCTORES DE MT'!$D$17:$BE$261,7,FALSE)=34500,3*LOOKUP(AZ23,'CONDCUTORES MT'!$A$46:$A$54,'CONDCUTORES MT'!$E$46:$E$54),IF(VLOOKUP(C23,'CÁLCULO CONDUCTORES DE MT'!$D$17:$BE$261,33,FALSE)="Cable Armado",LOOKUP(AZ23,'CONDCUTORES MT'!$A$83:$A$86,'CONDCUTORES MT'!$E$83:$E$86),IF(AND(VLOOKUP(C23,'CÁLCULO CONDUCTORES DE MT'!$D$17:$BE$261,33,FALSE)="Monopolar",VLOOKUP(C23,'CÁLCULO CONDUCTORES DE MT'!$D$17:$BE$261,44,FALSE)="Si"),(3*IF(OR(VLOOKUP(C23,'CÁLCULO CONDUCTORES DE MT'!$D$17:$BE$261,7,FALSE)=11400,VLOOKUP(C23,'CÁLCULO CONDUCTORES DE MT'!$D$17:$BE$261,7,FALSE)=13200,VLOOKUP(C23,'CÁLCULO CONDUCTORES DE MT'!$D$17:$BE$261,7,FALSE)=13800),LOOKUP(AZ23,'CONDCUTORES MT'!$A$33:$A$41,'CONDCUTORES MT'!$E$33:$E$41),LOOKUP(AZ23,'CONDCUTORES MT'!$A$20:$A$28,'CONDCUTORES MT'!$E$20:$E$28)))+(LOOKUP(BA23,CONDUCTORES!$A$9:$A$23,CONDUCTORES!$F$9:$F$23)),IF(AND(VLOOKUP(C23,'CÁLCULO CONDUCTORES DE MT'!$D$17:$BE$261,33,FALSE)="Monopolar",VLOOKUP(C23,'CÁLCULO CONDUCTORES DE MT'!$D$17:$BE$261,44,FALSE)="No"),(3*IF(OR(VLOOKUP(C23,'CÁLCULO CONDUCTORES DE MT'!$D$17:$BE$261,7,FALSE)=11400,VLOOKUP(C23,'CÁLCULO CONDUCTORES DE MT'!$D$17:$BE$261,7,FALSE)=13200,VLOOKUP(C23,'CÁLCULO CONDUCTORES DE MT'!$D$17:$BE$261,7,FALSE)=13800),LOOKUP(AZ23,'CONDCUTORES MT'!$A$33:$A$41,'CONDCUTORES MT'!$E$33:$E$41),LOOKUP(AZ23,'CONDCUTORES MT'!$A$20:$A$28,'CONDCUTORES MT'!$E$20:$E$28))     ),"VERIFICAR CONDUCTOR"))))),"--"))</f>
        <v>#N/A</v>
      </c>
      <c r="Y23" s="1133" t="e">
        <f t="shared" si="2"/>
        <v>#N/A</v>
      </c>
      <c r="Z23" s="1134" t="e">
        <f>IF(AW23="AÉREO","--",IF(OR(AW23&lt;&gt;"BANDEJA",AT23="Si"),IF(AB23="--","--",VLOOKUP(BD23,CONDUITS!$A$14:$C$19,3,FALSE)),"--"))</f>
        <v>#N/A</v>
      </c>
      <c r="AA23" s="1135" t="e">
        <f t="shared" si="3"/>
        <v>#N/A</v>
      </c>
      <c r="AB23" s="1136" t="e">
        <f t="shared" si="4"/>
        <v>#N/A</v>
      </c>
      <c r="AC23" s="1137" t="e">
        <f>IF(MOD(MID(K23,1,1),IF(OR(AW23="BANDEJA",AW23="AÉREO"),1,AA23))=0,IF(AW23="AÉREO","--",IF(OR(AW23&lt;&gt;"BANDEJA",AT23="Si"),IF(AB23="EMT",(W23/VLOOKUP(BD23,CONDUITS!$A$14:$W$19,7)*100),IF(AB23="IMC",(W23/VLOOKUP(BD23,CONDUITS!$A$14:$W$19,12)*100),IF(AB23="RMC",(W23/VLOOKUP(BD23,CONDUITS!$A$14:$W$19,17)*100),IF(OR(AB23="PVC",AB23="CONDUIT FLEXIBLE"),(W23/VLOOKUP(BD23,CONDUITS!$A$14:$W$19,22)*100),"--")))),"--")),"NO")</f>
        <v>#N/A</v>
      </c>
      <c r="AD23" s="1138" t="e">
        <f t="shared" si="5"/>
        <v>#N/A</v>
      </c>
      <c r="AE23" s="1135" t="e">
        <f>IF(OR(AW23="BANDEJA",AT23="SI"),(IF((VLOOKUP(C23,'CÁLCULO CONDUCTORES DE MT'!$D$2:$AX$267,33,FALSE))="Monopolar",(IF((VLOOKUP(C23,'CÁLCULO CONDUCTORES DE MT'!$D$2:$AX$267,44,FALSE))="Si",(((VLOOKUP(C23,'CÁLCULO CONDUCTORES DE MT'!$D$2:$AX$267,32,FALSE))*(VLOOKUP(C23,'CÁLCULO CONDUCTORES DE MT'!$D$2:$AX$267,22,FALSE)))+(VLOOKUP(C23,'CÁLCULO CONDUCTORES DE MT'!$D$2:$AX$267,32,FALSE))),((VLOOKUP(C23,'CÁLCULO CONDUCTORES DE MT'!$D$2:$AX$267,32,FALSE))*(VLOOKUP(C23,'CÁLCULO CONDUCTORES DE MT'!$D$2:$AX$267,22,FALSE))))),IF((VLOOKUP(C23,'CÁLCULO CONDUCTORES DE MT'!$D$2:$AX$267,32,FALSE))="Cable Armado",((VLOOKUP(C23,'CÁLCULO CONDUCTORES DE MT'!$D$2:$AX$267,32,FALSE))*(VLOOKUP(C23,'CÁLCULO CONDUCTORES DE MT'!$D$2:$AX$267,22,FALSE))),MID(K23,1,1)))),"--")</f>
        <v>#N/A</v>
      </c>
      <c r="AF23" s="1135" t="e">
        <f>IF(OR(AW23="BANDEJA",AT23="SI"),IF((VLOOKUP(C23,'CÁLCULO CONDUCTORES DE MT'!$D$2:$AX$267,33,FALSE))="Monopolar",(IF((VLOOKUP(C23,'CÁLCULO CONDUCTORES DE MT'!$D$2:$AX$267,44,FALSE))="Si",((((VLOOKUP(C23,'CÁLCULO CONDUCTORES DE MT'!$D$2:$AX$267,32,FALSE))*(VLOOKUP(C23,'CÁLCULO CONDUCTORES DE MT'!$D$2:$AX$267,22,FALSE)))*(IF(OR(VLOOKUP(C23,'CÁLCULO CONDUCTORES DE MT'!$D$17:$BE$261,7,FALSE)=2300,VLOOKUP(C23,'CÁLCULO CONDUCTORES DE MT'!$D$17:$BE$261,7,FALSE)=4160),LOOKUP(AZ23,'CONDCUTORES MT'!$A$20:$A$28,'CONDCUTORES MT'!$E$20:$E$28),IF(OR(VLOOKUP(C23,'CÁLCULO CONDUCTORES DE MT'!$D$17:$BE$261,7,FALSE)=11400,VLOOKUP(C23,'CÁLCULO CONDUCTORES DE MT'!$D$17:$BE$261,7,FALSE)=13200,VLOOKUP(C23,'CÁLCULO CONDUCTORES DE MT'!$D$17:$BE$261,7,FALSE)=13800),LOOKUP(AZ23,'CONDCUTORES MT'!$A$31:$A$41,'CONDCUTORES MT'!$E$31:$E$41),LOOKUP(AZ23,'CONDCUTORES MT'!$A$46:$A$54,'CONDCUTORES MT'!$E$46:$E$54)))))+((VLOOKUP(C23,'CÁLCULO CONDUCTORES DE MT'!$D$2:$AX$267,32,FALSE))*(LOOKUP(BA23,CONDUCTORES!$A$9:$A$62,CONDUCTORES!$F$9:$F$62)))),((AE23)*(IF(OR(VLOOKUP(C23,'CÁLCULO CONDUCTORES DE MT'!$D$17:$BE$261,7,FALSE)=2300,VLOOKUP(C23,'CÁLCULO CONDUCTORES DE MT'!$D$17:$BE$261,7,FALSE)=4160),LOOKUP(AZ23,'CONDCUTORES MT'!$A$20:$A$28,'CONDCUTORES MT'!$E$20:$E$28),IF(OR(VLOOKUP(C23,'CÁLCULO CONDUCTORES DE MT'!$D$17:$BE$261,7,FALSE)=11400,VLOOKUP(C23,'CÁLCULO CONDUCTORES DE MT'!$D$17:$BE$261,7,FALSE)=13200,VLOOKUP(C23,'CÁLCULO CONDUCTORES DE MT'!$D$17:$BE$261,7,FALSE)=13800),LOOKUP(AZ23,'CONDCUTORES MT'!$A$31:$A$41,'CONDCUTORES MT'!$E$31:$E$41),LOOKUP(AZ23,'CONDCUTORES MT'!$A$46:$A$54,'CONDCUTORES MT'!$E$46:$E$54))))))),(IF((VLOOKUP(C23,'CÁLCULO CONDUCTORES DE MT'!$D$2:$AX$267,33,FALSE))="Cable Armado",((AE23)*(LOOKUP(AZ23,'CONDCUTORES MT'!$A$83:$A$86,'CONDCUTORES MT'!$E$83:$E$86))),"N/A"))),"--")</f>
        <v>#N/A</v>
      </c>
      <c r="AG23" s="1139" t="e">
        <f>IF(OR(AW23="BANDEJA",AT23="SI"),IF((VLOOKUP(C23,'CÁLCULO CONDUCTORES DE MT'!$D$2:$AX$267,33,FALSE))="Monopolar",(IF((VLOOKUP(C23,'CÁLCULO CONDUCTORES DE MT'!$D$2:$AX$267,44,FALSE))="Si",((((VLOOKUP(C23,'CÁLCULO CONDUCTORES DE MT'!$D$2:$AX$267,32,FALSE))*(  IF(AS23="Horizontal", VLOOKUP(C23,'CÁLCULO CONDUCTORES DE MT'!$D$2:$AX$267,22,FALSE), IF(OR(VLOOKUP(C23,'CÁLCULO CONDUCTORES DE MT'!$D$2:$AX$267,22,FALSE)=3,VLOOKUP(C23,'CÁLCULO CONDUCTORES DE MT'!$D$2:$AX$267,22,FALSE)=6,VLOOKUP(C23,'CÁLCULO CONDUCTORES DE MT'!$D$2:$AX$267,22,FALSE)=9,VLOOKUP(C23,'CÁLCULO CONDUCTORES DE MT'!$D$2:$AX$267,22,FALSE)=12,VLOOKUP(C23,'CÁLCULO CONDUCTORES DE MT'!$D$2:$AX$267,22,FALSE)=15),((VLOOKUP(C23,'CÁLCULO CONDUCTORES DE MT'!$D$2:$AX$267,22,FALSE))-((VLOOKUP(C23,'CÁLCULO CONDUCTORES DE MT'!$D$2:$AX$267,22,FALSE))/3)) ) ) ))*(IF(OR(VLOOKUP(C23,'CÁLCULO CONDUCTORES DE MT'!$D$17:$BE$261,7,FALSE)=2300,VLOOKUP(C23,'CÁLCULO CONDUCTORES DE MT'!$D$17:$BE$261,7,FALSE)=4160),LOOKUP(AZ23,'CONDCUTORES MT'!$A$20:$A$28,'CONDCUTORES MT'!$D$20:$D$28),IF(OR(VLOOKUP(C23,'CÁLCULO CONDUCTORES DE MT'!$D$17:$BE$261,7,FALSE)=11400,VLOOKUP(C23,'CÁLCULO CONDUCTORES DE MT'!$D$17:$BE$261,7,FALSE)=13200,VLOOKUP(C23,'CÁLCULO CONDUCTORES DE MT'!$D$17:$BE$261,7,FALSE)=13800),LOOKUP(AZ23,'CONDCUTORES MT'!$A$31:$A$41,'CONDCUTORES MT'!$D$31:$D$41),LOOKUP(AZ23,'CONDCUTORES MT'!$A$46:$A$54,'CONDCUTORES MT'!$D$46:$D$54)))))+((VLOOKUP(C23,'CÁLCULO CONDUCTORES DE MT'!$D$2:$AX$267,32,FALSE))*(LOOKUP(AZ23,'CONDCUTORES MT'!$A$46:$A$203,'CONDCUTORES MT'!$D$46:$D$54)))),        (((VLOOKUP(C23,'CÁLCULO CONDUCTORES DE MT'!$D$2:$AX$267,32,FALSE))*   (  IF(AS23="Horizontal", VLOOKUP(C23,'CÁLCULO CONDUCTORES DE MT'!$D$2:$AX$267,22,FALSE), IF(OR(VLOOKUP(C23,'CÁLCULO CONDUCTORES DE MT'!$D$2:$AX$267,22,FALSE)=3,VLOOKUP(C23,'CÁLCULO CONDUCTORES DE MT'!$D$2:$AX$267,22,FALSE)=6,VLOOKUP(C23,'CÁLCULO CONDUCTORES DE MT'!$D$2:$AX$267,22,FALSE)=9,VLOOKUP(C23,'CÁLCULO CONDUCTORES DE MT'!$D$2:$AX$267,22,FALSE)=12,VLOOKUP(C23,'CÁLCULO CONDUCTORES DE MT'!$D$2:$AX$267,22,FALSE)=15),((VLOOKUP(C23,'CÁLCULO CONDUCTORES DE MT'!$D$2:$AX$267,22,FALSE))-((VLOOKUP(C23,'CÁLCULO CONDUCTORES DE MT'!$D$2:$AX$267,22,FALSE))/3)) ) ) )  )*      (IF(OR(VLOOKUP(C23,'CÁLCULO CONDUCTORES DE MT'!$D$17:$BE$261,7,FALSE)=2300,VLOOKUP(C23,'CÁLCULO CONDUCTORES DE MT'!$D$17:$BE$261,7,FALSE)=4160),LOOKUP(AZ23,'CONDCUTORES MT'!$A$20:$A$28,'CONDCUTORES MT'!$D$20:$D$28),IF(OR(VLOOKUP(C23,'CÁLCULO CONDUCTORES DE MT'!$D$17:$BE$261,7,FALSE)=11400,VLOOKUP(C23,'CÁLCULO CONDUCTORES DE MT'!$D$17:$BE$261,7,FALSE)=13200,VLOOKUP(C23,'CÁLCULO CONDUCTORES DE MT'!$D$17:$BE$261,7,FALSE)=13800),LOOKUP(AZ23,'CONDCUTORES MT'!$A$31:$A$41,'CONDCUTORES MT'!$D$31:$D$41),LOOKUP(AZ23,'CONDCUTORES MT'!$A$46:$A$54,'CONDCUTORES MT'!$D$46:$D$54))))      ))),(MID(K23,1,1))*(LOOKUP(AZ23,'CONDCUTORES MT'!$A$83:$A$86,'CONDCUTORES MT'!$D$83:$D$86))),"--")</f>
        <v>#N/A</v>
      </c>
      <c r="AH23" s="1139" t="e">
        <f t="shared" si="6"/>
        <v>#N/A</v>
      </c>
      <c r="AI23" s="1139" t="e">
        <f t="shared" si="7"/>
        <v>#N/A</v>
      </c>
      <c r="AJ23" s="1140" t="e">
        <f t="shared" si="8"/>
        <v>#N/A</v>
      </c>
      <c r="AK23" s="1141" t="e">
        <f t="shared" si="9"/>
        <v>#N/A</v>
      </c>
      <c r="AL23" s="1140" t="e">
        <f t="shared" si="10"/>
        <v>#N/A</v>
      </c>
      <c r="AM23" s="1140" t="e">
        <f t="shared" si="11"/>
        <v>#N/A</v>
      </c>
      <c r="AN23" s="1142" t="e">
        <f t="shared" si="12"/>
        <v>#N/A</v>
      </c>
      <c r="AO23" s="901">
        <v>1</v>
      </c>
      <c r="AP23" s="943" t="s">
        <v>648</v>
      </c>
      <c r="AQ23" s="944" t="s">
        <v>624</v>
      </c>
      <c r="AR23" s="945" t="s">
        <v>629</v>
      </c>
      <c r="AS23" s="945" t="s">
        <v>1158</v>
      </c>
      <c r="AT23" s="906" t="s">
        <v>605</v>
      </c>
      <c r="AU23" s="946" t="s">
        <v>599</v>
      </c>
      <c r="AV23" s="906" t="s">
        <v>605</v>
      </c>
      <c r="AW23" s="946" t="e">
        <f>+VLOOKUP(C23,'CÁLCULO CONDUCTORES DE MT'!$D$2:$AG$263,21,FALSE)</f>
        <v>#N/A</v>
      </c>
      <c r="AX23" s="903" t="e">
        <f>+VLOOKUP(C23,'CÁLCULO CONDUCTORES DE MT'!$D$2:$BE$263,31,FALSE)</f>
        <v>#N/A</v>
      </c>
      <c r="AY23" s="947" t="e">
        <f>IF((VLOOKUP(C23,'CÁLCULO CONDUCTORES DE MT'!$D$2:$BE$263,47,FALSE))="No",LOOKUP((IF(VLOOKUP(C23,'CÁLCULO CONDUCTORES DE MT'!$D$2:$BE$263,15,FALSE)="VER NOTAS",15,VLOOKUP(C23,'CÁLCULO CONDUCTORES DE MT'!$D$2:$BE$263,15,FALSE))),CONDUCTORES!$A$111:$A$131,IF(VLOOKUP(C23,'CÁLCULO CONDUCTORES DE MT'!$D$2:$BE$263,35,FALSE)="Cu",CONDUCTORES!$B$111:$B$131,CONDUCTORES!$C$111:$C$131)),VLOOKUP(C23,'CÁLCULO CONDUCTORES DE MT'!$D$2:$BE$263,47,FALSE))</f>
        <v>#N/A</v>
      </c>
      <c r="AZ23" s="948" t="e">
        <f>VLOOKUP(C23,'CÁLCULO CONDUCTORES DE MT'!$D$2:$BS$263,58,FALSE)</f>
        <v>#N/A</v>
      </c>
      <c r="BA23" s="947" t="e">
        <f>IF((VLOOKUP(C23,'CÁLCULO CONDUCTORES DE MT'!$D$2:$BS$263,33,FALSE))="Monopolar",VLOOKUP(AY23,CONDUCTORES!$B$9:$X$23,23,FALSE)," ")</f>
        <v>#N/A</v>
      </c>
      <c r="BB23" s="949" t="e">
        <f>IF(OR(AW23="BANDEJA",AT23="Si"),IF(AI23="--","  ",IF(OR(AZ23&lt;=10,BA23&lt;=10),(BF23*100)/(AI23*15),(AF23/(VLOOKUP(AI23,CONDUITS!$A$25:$B$37,2,FALSE)))*100)),"  ")</f>
        <v>#N/A</v>
      </c>
      <c r="BC23" s="949" t="str">
        <f>IF(ISERROR(IF(OR(AW23="BANDEJA",AT23="Si"),IF(AI23="--","  ",((AF23)/(VLOOKUP(AI23,CONDUITS!$A$25:$C$37,3,FALSE)))*100),"  "))=TRUE,"",IF(OR(AW23="BANDEJA",AT23="Si"),IF(AI23="--","  ",((AF23)/(VLOOKUP(AI23,CONDUITS!$A$25:$C$37,3,FALSE)))*100),"  "))</f>
        <v/>
      </c>
      <c r="BD23" s="950" t="e">
        <f>(IF(OR(AW23&lt;&gt;"BANDEJA",AT23="Si"),IF(AB23="EMT",(IF(W23&lt;CONDUITS!$F$14,CONDUITS!$A$14,IF(W23&lt;CONDUITS!$F$15,CONDUITS!$A$15,IF(W23&lt;CONDUITS!$F$16,CONDUITS!$A$16,IF(W23&lt;CONDUITS!$F$17,CONDUITS!$A$17,IF(W23&lt;CONDUITS!$F$18,CONDUITS!$A$18,IF(W23&lt;CONDUITS!$F$19,CONDUITS!$A$19,CONDUITS!$A$17))))))),IF(AB23="IMC",(IF(W23&lt;CONDUITS!$K$14,CONDUITS!$A$14,IF(W23&lt;CONDUITS!$K$15,CONDUITS!$A$15,IF(W23&lt;CONDUITS!$K$16,CONDUITS!$A$16,IF(W23&lt;CONDUITS!$K$17,CONDUITS!$A$17,IF(W23&lt;CONDUITS!$K$18,CONDUITS!$A$18,IF(W23&lt;CONDUITS!$K$19,CONDUITS!$A$19,CONDUITS!$A$17))))))),IF(AB23="RMC",(IF(W23&lt;CONDUITS!$P$14,CONDUITS!$A$14,IF(W23&lt;CONDUITS!$P$15,CONDUITS!$A$15,IF(W23&lt;CONDUITS!$P$16,CONDUITS!$A$16,IF(W23&lt;CONDUITS!$P$17,CONDUITS!$A$17,IF(W23&lt;CONDUITS!$P$18,CONDUITS!$A$18,IF(W23&lt;CONDUITS!$P$19,CONDUITS!$A$19,CONDUITS!$A$18))))))),IF(OR(AB23="PVC",AB23="CONDUIT FLEXIBLE"),(IF(W23&lt;CONDUITS!$U$14,CONDUITS!$A$14,IF(W23&lt;CONDUITS!$U$15,CONDUITS!$A$15,IF(W23&lt;CONDUITS!$U$16,CONDUITS!$A$16,IF(W23&lt;CONDUITS!$U$17,CONDUITS!$A$17,IF(W23&lt;CONDUITS!$U$18,CONDUITS!$A$18,IF(W23&lt;CONDUITS!$U$19,CONDUITS!$A$19,CONDUITS!$A$18))))))),"NO")))),"  "))</f>
        <v>#N/A</v>
      </c>
      <c r="BE23" s="937">
        <f t="shared" si="0"/>
        <v>2</v>
      </c>
      <c r="BF23" s="942" t="e">
        <f>IF(OR(AW23="BANDEJA",AT23="SI"),IF((VLOOKUP(C23,'CÁLCULO CONDUCTORES DE MT'!$D$2:$AX$267,33,FALSE))="Monopolar",(IF((VLOOKUP(C23,'CÁLCULO CONDUCTORES DE MT'!$D$2:$AX$267,44,FALSE))="Si",((((VLOOKUP(C23,'CÁLCULO CONDUCTORES DE MT'!$D$2:$AX$267,32,FALSE))*(  VLOOKUP(C23,'CÁLCULO CONDUCTORES DE MT'!$D$2:$AX$267,22,FALSE)))*(IF(OR(VLOOKUP(C23,'CÁLCULO CONDUCTORES DE MT'!$D$17:$BE$261,7,FALSE)=2300,VLOOKUP(C23,'CÁLCULO CONDUCTORES DE MT'!$D$17:$BE$261,7,FALSE)=4160),LOOKUP(AZ23,'CONDCUTORES MT'!$A$20:$A$28,'CONDCUTORES MT'!$D$20:$D$28),IF(OR(VLOOKUP(C23,'CÁLCULO CONDUCTORES DE MT'!$D$17:$BE$261,7,FALSE)=11400,VLOOKUP(C23,'CÁLCULO CONDUCTORES DE MT'!$D$17:$BE$261,7,FALSE)=13200,VLOOKUP(C23,'CÁLCULO CONDUCTORES DE MT'!$D$17:$BE$261,7,FALSE)=13800),LOOKUP(AZ23,'CONDCUTORES MT'!$A$31:$A$41,'CONDCUTORES MT'!$D$31:$D$41),LOOKUP(AZ23,'CONDCUTORES MT'!$A$46:$A$54,'CONDCUTORES MT'!$D$46:$D$54)))))+((VLOOKUP(C23,'CÁLCULO CONDUCTORES DE MT'!$D$2:$AX$267,32,FALSE))*(LOOKUP(AZ23,'CONDCUTORES MT'!$A$46:$A$203,'CONDCUTORES MT'!$D$46:$D$54)))),        (((VLOOKUP(C23,'CÁLCULO CONDUCTORES DE MT'!$D$2:$AX$267,32,FALSE))*   (  VLOOKUP(C23,'CÁLCULO CONDUCTORES DE MT'!$D$2:$AX$267,22,FALSE))  )*      (IF(OR(VLOOKUP(C23,'CÁLCULO CONDUCTORES DE MT'!$D$17:$BE$261,7,FALSE)=2300,VLOOKUP(C23,'CÁLCULO CONDUCTORES DE MT'!$D$17:$BE$261,7,FALSE)=4160),LOOKUP(AZ23,'CONDCUTORES MT'!$A$20:$A$28,'CONDCUTORES MT'!$D$20:$D$28),IF(OR(VLOOKUP(C23,'CÁLCULO CONDUCTORES DE MT'!$D$17:$BE$261,7,FALSE)=11400,VLOOKUP(C23,'CÁLCULO CONDUCTORES DE MT'!$D$17:$BE$261,7,FALSE)=13200,VLOOKUP(C23,'CÁLCULO CONDUCTORES DE MT'!$D$17:$BE$261,7,FALSE)=13800),LOOKUP(AZ23,'CONDCUTORES MT'!$A$31:$A$41,'CONDCUTORES MT'!$D$31:$D$41),LOOKUP(AZ23,'CONDCUTORES MT'!$A$46:$A$54,'CONDCUTORES MT'!$D$46:$D$54))))      ))),(MID(K23,1,1))*(LOOKUP(AZ23,'CONDCUTORES MT'!$A$83:$A$86,'CONDCUTORES MT'!$D$83:$D$86))),"--")</f>
        <v>#N/A</v>
      </c>
      <c r="BG23" s="951"/>
      <c r="BH23" s="952" t="s">
        <v>624</v>
      </c>
      <c r="BI23" s="1318"/>
      <c r="BJ23" s="464"/>
      <c r="BK23" s="1322"/>
      <c r="BL23" s="1322"/>
      <c r="BM23" s="1322"/>
      <c r="BN23" s="1322"/>
      <c r="BO23" s="1322"/>
      <c r="BP23" s="1322"/>
      <c r="BQ23" s="1322"/>
      <c r="BR23" s="1322"/>
      <c r="BS23" s="1322"/>
      <c r="BT23" s="1322"/>
      <c r="BU23" s="1322"/>
      <c r="BV23" s="1322"/>
      <c r="BW23" s="1322"/>
      <c r="BX23" s="1322"/>
      <c r="BY23" s="1322"/>
      <c r="BZ23" s="1322"/>
      <c r="CA23" s="1322"/>
      <c r="CB23" s="1322"/>
      <c r="CC23" s="1322"/>
      <c r="CD23" s="1322"/>
      <c r="CE23" s="1322"/>
      <c r="CF23" s="1322"/>
      <c r="CG23" s="1322"/>
      <c r="CH23" s="1322"/>
      <c r="CI23" s="1322"/>
      <c r="CJ23" s="1322"/>
      <c r="CK23" s="1322"/>
    </row>
    <row r="24" spans="1:89" s="580" customFormat="1" ht="32.1" hidden="1" customHeight="1" x14ac:dyDescent="0.25">
      <c r="A24" s="1185">
        <v>9</v>
      </c>
      <c r="B24" s="1146" t="str">
        <f>+_xlfn.CONCAT($B$18,".",SUBTOTAL(103,$AO$19:AO24))</f>
        <v>4.2.0</v>
      </c>
      <c r="C24" s="1823" t="e">
        <f>+VLOOKUP(A24,'CÁLCULO CONDUCTORES DE MT'!$B$17:$BR$264,3,FALSE)</f>
        <v>#N/A</v>
      </c>
      <c r="D24" s="1824"/>
      <c r="E24" s="1825"/>
      <c r="F24" s="1823" t="e">
        <f>+VLOOKUP(C24,'CÁLCULO CONDUCTORES DE MT'!$D$2:$AG$263,2,FALSE)</f>
        <v>#N/A</v>
      </c>
      <c r="G24" s="1824"/>
      <c r="H24" s="1824"/>
      <c r="I24" s="1824"/>
      <c r="J24" s="1825"/>
      <c r="K24" s="1819" t="e">
        <f>+VLOOKUP(C24,'CÁLCULO CONDUCTORES DE MT'!$D$2:$AG$263,18,FALSE)</f>
        <v>#N/A</v>
      </c>
      <c r="L24" s="1820"/>
      <c r="M24" s="1820"/>
      <c r="N24" s="1820"/>
      <c r="O24" s="1821"/>
      <c r="P24" s="1816" t="e">
        <f>+VLOOKUP(C24,'CÁLCULO CONDUCTORES DE MT'!$D$2:$AG$263,17,FALSE)</f>
        <v>#N/A</v>
      </c>
      <c r="Q24" s="1817"/>
      <c r="R24" s="1817"/>
      <c r="S24" s="1817"/>
      <c r="T24" s="1817"/>
      <c r="U24" s="1818"/>
      <c r="V24" s="1132" t="e">
        <f>+VLOOKUP(C24,'CÁLCULO CONDUCTORES DE MT'!$D$2:$AG$269,4,FALSE)</f>
        <v>#N/A</v>
      </c>
      <c r="W24" s="1133" t="e">
        <f t="shared" si="1"/>
        <v>#N/A</v>
      </c>
      <c r="X24" s="1133" t="e">
        <f>IF(AW24="AÉREO","--",IF(OR(AW24&lt;&gt;"BANDEJA",AT24="Si"),IF(VLOOKUP(C24,'CÁLCULO CONDUCTORES DE MT'!$D$17:$BE$261,41,FALSE)="M",LOOKUP(AZ24,'CONDCUTORES MT'!$A$20:$A$28,'CONDCUTORES MT'!$X$20:$X$28),IF(VLOOKUP(C24,'CÁLCULO CONDUCTORES DE MT'!$D$17:$BE$261,7,FALSE)=34500,3*LOOKUP(AZ24,'CONDCUTORES MT'!$A$46:$A$54,'CONDCUTORES MT'!$E$46:$E$54),IF(VLOOKUP(C24,'CÁLCULO CONDUCTORES DE MT'!$D$17:$BE$261,33,FALSE)="Cable Armado",LOOKUP(AZ24,'CONDCUTORES MT'!$A$83:$A$86,'CONDCUTORES MT'!$E$83:$E$86),IF(AND(VLOOKUP(C24,'CÁLCULO CONDUCTORES DE MT'!$D$17:$BE$261,33,FALSE)="Monopolar",VLOOKUP(C24,'CÁLCULO CONDUCTORES DE MT'!$D$17:$BE$261,44,FALSE)="Si"),(3*IF(OR(VLOOKUP(C24,'CÁLCULO CONDUCTORES DE MT'!$D$17:$BE$261,7,FALSE)=11400,VLOOKUP(C24,'CÁLCULO CONDUCTORES DE MT'!$D$17:$BE$261,7,FALSE)=13200,VLOOKUP(C24,'CÁLCULO CONDUCTORES DE MT'!$D$17:$BE$261,7,FALSE)=13800),LOOKUP(AZ24,'CONDCUTORES MT'!$A$33:$A$41,'CONDCUTORES MT'!$E$33:$E$41),LOOKUP(AZ24,'CONDCUTORES MT'!$A$20:$A$28,'CONDCUTORES MT'!$E$20:$E$28)))+(LOOKUP(BA24,CONDUCTORES!$A$9:$A$23,CONDUCTORES!$F$9:$F$23)),IF(AND(VLOOKUP(C24,'CÁLCULO CONDUCTORES DE MT'!$D$17:$BE$261,33,FALSE)="Monopolar",VLOOKUP(C24,'CÁLCULO CONDUCTORES DE MT'!$D$17:$BE$261,44,FALSE)="No"),(3*IF(OR(VLOOKUP(C24,'CÁLCULO CONDUCTORES DE MT'!$D$17:$BE$261,7,FALSE)=11400,VLOOKUP(C24,'CÁLCULO CONDUCTORES DE MT'!$D$17:$BE$261,7,FALSE)=13200,VLOOKUP(C24,'CÁLCULO CONDUCTORES DE MT'!$D$17:$BE$261,7,FALSE)=13800),LOOKUP(AZ24,'CONDCUTORES MT'!$A$33:$A$41,'CONDCUTORES MT'!$E$33:$E$41),LOOKUP(AZ24,'CONDCUTORES MT'!$A$20:$A$28,'CONDCUTORES MT'!$E$20:$E$28))     ),"VERIFICAR CONDUCTOR"))))),"--"))</f>
        <v>#N/A</v>
      </c>
      <c r="Y24" s="1133" t="e">
        <f t="shared" si="2"/>
        <v>#N/A</v>
      </c>
      <c r="Z24" s="1134" t="e">
        <f>IF(AW24="AÉREO","--",IF(OR(AW24&lt;&gt;"BANDEJA",AT24="Si"),IF(AB24="--","--",VLOOKUP(BD24,CONDUITS!$A$14:$C$19,3,FALSE)),"--"))</f>
        <v>#N/A</v>
      </c>
      <c r="AA24" s="1135" t="e">
        <f t="shared" si="3"/>
        <v>#N/A</v>
      </c>
      <c r="AB24" s="1136" t="e">
        <f t="shared" si="4"/>
        <v>#N/A</v>
      </c>
      <c r="AC24" s="1137" t="e">
        <f>IF(MOD(MID(K24,1,1),IF(OR(AW24="BANDEJA",AW24="AÉREO"),1,AA24))=0,IF(AW24="AÉREO","--",IF(OR(AW24&lt;&gt;"BANDEJA",AT24="Si"),IF(AB24="EMT",(W24/VLOOKUP(BD24,CONDUITS!$A$14:$W$19,7)*100),IF(AB24="IMC",(W24/VLOOKUP(BD24,CONDUITS!$A$14:$W$19,12)*100),IF(AB24="RMC",(W24/VLOOKUP(BD24,CONDUITS!$A$14:$W$19,17)*100),IF(OR(AB24="PVC",AB24="CONDUIT FLEXIBLE"),(W24/VLOOKUP(BD24,CONDUITS!$A$14:$W$19,22)*100),"--")))),"--")),"NO")</f>
        <v>#N/A</v>
      </c>
      <c r="AD24" s="1138" t="e">
        <f t="shared" si="5"/>
        <v>#N/A</v>
      </c>
      <c r="AE24" s="1135" t="e">
        <f>IF(OR(AW24="BANDEJA",AT24="SI"),(IF((VLOOKUP(C24,'CÁLCULO CONDUCTORES DE MT'!$D$2:$AX$267,33,FALSE))="Monopolar",(IF((VLOOKUP(C24,'CÁLCULO CONDUCTORES DE MT'!$D$2:$AX$267,44,FALSE))="Si",(((VLOOKUP(C24,'CÁLCULO CONDUCTORES DE MT'!$D$2:$AX$267,32,FALSE))*(VLOOKUP(C24,'CÁLCULO CONDUCTORES DE MT'!$D$2:$AX$267,22,FALSE)))+(VLOOKUP(C24,'CÁLCULO CONDUCTORES DE MT'!$D$2:$AX$267,32,FALSE))),((VLOOKUP(C24,'CÁLCULO CONDUCTORES DE MT'!$D$2:$AX$267,32,FALSE))*(VLOOKUP(C24,'CÁLCULO CONDUCTORES DE MT'!$D$2:$AX$267,22,FALSE))))),IF((VLOOKUP(C24,'CÁLCULO CONDUCTORES DE MT'!$D$2:$AX$267,32,FALSE))="Cable Armado",((VLOOKUP(C24,'CÁLCULO CONDUCTORES DE MT'!$D$2:$AX$267,32,FALSE))*(VLOOKUP(C24,'CÁLCULO CONDUCTORES DE MT'!$D$2:$AX$267,22,FALSE))),MID(K24,1,1)))),"--")</f>
        <v>#N/A</v>
      </c>
      <c r="AF24" s="1135" t="e">
        <f>IF(OR(AW24="BANDEJA",AT24="SI"),IF((VLOOKUP(C24,'CÁLCULO CONDUCTORES DE MT'!$D$2:$AX$267,33,FALSE))="Monopolar",(IF((VLOOKUP(C24,'CÁLCULO CONDUCTORES DE MT'!$D$2:$AX$267,44,FALSE))="Si",((((VLOOKUP(C24,'CÁLCULO CONDUCTORES DE MT'!$D$2:$AX$267,32,FALSE))*(VLOOKUP(C24,'CÁLCULO CONDUCTORES DE MT'!$D$2:$AX$267,22,FALSE)))*(IF(OR(VLOOKUP(C24,'CÁLCULO CONDUCTORES DE MT'!$D$17:$BE$261,7,FALSE)=2300,VLOOKUP(C24,'CÁLCULO CONDUCTORES DE MT'!$D$17:$BE$261,7,FALSE)=4160),LOOKUP(AZ24,'CONDCUTORES MT'!$A$20:$A$28,'CONDCUTORES MT'!$E$20:$E$28),IF(OR(VLOOKUP(C24,'CÁLCULO CONDUCTORES DE MT'!$D$17:$BE$261,7,FALSE)=11400,VLOOKUP(C24,'CÁLCULO CONDUCTORES DE MT'!$D$17:$BE$261,7,FALSE)=13200,VLOOKUP(C24,'CÁLCULO CONDUCTORES DE MT'!$D$17:$BE$261,7,FALSE)=13800),LOOKUP(AZ24,'CONDCUTORES MT'!$A$31:$A$41,'CONDCUTORES MT'!$E$31:$E$41),LOOKUP(AZ24,'CONDCUTORES MT'!$A$46:$A$54,'CONDCUTORES MT'!$E$46:$E$54)))))+((VLOOKUP(C24,'CÁLCULO CONDUCTORES DE MT'!$D$2:$AX$267,32,FALSE))*(LOOKUP(BA24,CONDUCTORES!$A$9:$A$62,CONDUCTORES!$F$9:$F$62)))),((AE24)*(IF(OR(VLOOKUP(C24,'CÁLCULO CONDUCTORES DE MT'!$D$17:$BE$261,7,FALSE)=2300,VLOOKUP(C24,'CÁLCULO CONDUCTORES DE MT'!$D$17:$BE$261,7,FALSE)=4160),LOOKUP(AZ24,'CONDCUTORES MT'!$A$20:$A$28,'CONDCUTORES MT'!$E$20:$E$28),IF(OR(VLOOKUP(C24,'CÁLCULO CONDUCTORES DE MT'!$D$17:$BE$261,7,FALSE)=11400,VLOOKUP(C24,'CÁLCULO CONDUCTORES DE MT'!$D$17:$BE$261,7,FALSE)=13200,VLOOKUP(C24,'CÁLCULO CONDUCTORES DE MT'!$D$17:$BE$261,7,FALSE)=13800),LOOKUP(AZ24,'CONDCUTORES MT'!$A$31:$A$41,'CONDCUTORES MT'!$E$31:$E$41),LOOKUP(AZ24,'CONDCUTORES MT'!$A$46:$A$54,'CONDCUTORES MT'!$E$46:$E$54))))))),(IF((VLOOKUP(C24,'CÁLCULO CONDUCTORES DE MT'!$D$2:$AX$267,33,FALSE))="Cable Armado",((AE24)*(LOOKUP(AZ24,'CONDCUTORES MT'!$A$83:$A$86,'CONDCUTORES MT'!$E$83:$E$86))),"N/A"))),"--")</f>
        <v>#N/A</v>
      </c>
      <c r="AG24" s="1139" t="e">
        <f>IF(OR(AW24="BANDEJA",AT24="SI"),IF((VLOOKUP(C24,'CÁLCULO CONDUCTORES DE MT'!$D$2:$AX$267,33,FALSE))="Monopolar",(IF((VLOOKUP(C24,'CÁLCULO CONDUCTORES DE MT'!$D$2:$AX$267,44,FALSE))="Si",((((VLOOKUP(C24,'CÁLCULO CONDUCTORES DE MT'!$D$2:$AX$267,32,FALSE))*(  IF(AS24="Horizontal", VLOOKUP(C24,'CÁLCULO CONDUCTORES DE MT'!$D$2:$AX$267,22,FALSE), IF(OR(VLOOKUP(C24,'CÁLCULO CONDUCTORES DE MT'!$D$2:$AX$267,22,FALSE)=3,VLOOKUP(C24,'CÁLCULO CONDUCTORES DE MT'!$D$2:$AX$267,22,FALSE)=6,VLOOKUP(C24,'CÁLCULO CONDUCTORES DE MT'!$D$2:$AX$267,22,FALSE)=9,VLOOKUP(C24,'CÁLCULO CONDUCTORES DE MT'!$D$2:$AX$267,22,FALSE)=12,VLOOKUP(C24,'CÁLCULO CONDUCTORES DE MT'!$D$2:$AX$267,22,FALSE)=15),((VLOOKUP(C24,'CÁLCULO CONDUCTORES DE MT'!$D$2:$AX$267,22,FALSE))-((VLOOKUP(C24,'CÁLCULO CONDUCTORES DE MT'!$D$2:$AX$267,22,FALSE))/3)) ) ) ))*(IF(OR(VLOOKUP(C24,'CÁLCULO CONDUCTORES DE MT'!$D$17:$BE$261,7,FALSE)=2300,VLOOKUP(C24,'CÁLCULO CONDUCTORES DE MT'!$D$17:$BE$261,7,FALSE)=4160),LOOKUP(AZ24,'CONDCUTORES MT'!$A$20:$A$28,'CONDCUTORES MT'!$D$20:$D$28),IF(OR(VLOOKUP(C24,'CÁLCULO CONDUCTORES DE MT'!$D$17:$BE$261,7,FALSE)=11400,VLOOKUP(C24,'CÁLCULO CONDUCTORES DE MT'!$D$17:$BE$261,7,FALSE)=13200,VLOOKUP(C24,'CÁLCULO CONDUCTORES DE MT'!$D$17:$BE$261,7,FALSE)=13800),LOOKUP(AZ24,'CONDCUTORES MT'!$A$31:$A$41,'CONDCUTORES MT'!$D$31:$D$41),LOOKUP(AZ24,'CONDCUTORES MT'!$A$46:$A$54,'CONDCUTORES MT'!$D$46:$D$54)))))+((VLOOKUP(C24,'CÁLCULO CONDUCTORES DE MT'!$D$2:$AX$267,32,FALSE))*(LOOKUP(AZ24,'CONDCUTORES MT'!$A$46:$A$203,'CONDCUTORES MT'!$D$46:$D$54)))),        (((VLOOKUP(C24,'CÁLCULO CONDUCTORES DE MT'!$D$2:$AX$267,32,FALSE))*   (  IF(AS24="Horizontal", VLOOKUP(C24,'CÁLCULO CONDUCTORES DE MT'!$D$2:$AX$267,22,FALSE), IF(OR(VLOOKUP(C24,'CÁLCULO CONDUCTORES DE MT'!$D$2:$AX$267,22,FALSE)=3,VLOOKUP(C24,'CÁLCULO CONDUCTORES DE MT'!$D$2:$AX$267,22,FALSE)=6,VLOOKUP(C24,'CÁLCULO CONDUCTORES DE MT'!$D$2:$AX$267,22,FALSE)=9,VLOOKUP(C24,'CÁLCULO CONDUCTORES DE MT'!$D$2:$AX$267,22,FALSE)=12,VLOOKUP(C24,'CÁLCULO CONDUCTORES DE MT'!$D$2:$AX$267,22,FALSE)=15),((VLOOKUP(C24,'CÁLCULO CONDUCTORES DE MT'!$D$2:$AX$267,22,FALSE))-((VLOOKUP(C24,'CÁLCULO CONDUCTORES DE MT'!$D$2:$AX$267,22,FALSE))/3)) ) ) )  )*      (IF(OR(VLOOKUP(C24,'CÁLCULO CONDUCTORES DE MT'!$D$17:$BE$261,7,FALSE)=2300,VLOOKUP(C24,'CÁLCULO CONDUCTORES DE MT'!$D$17:$BE$261,7,FALSE)=4160),LOOKUP(AZ24,'CONDCUTORES MT'!$A$20:$A$28,'CONDCUTORES MT'!$D$20:$D$28),IF(OR(VLOOKUP(C24,'CÁLCULO CONDUCTORES DE MT'!$D$17:$BE$261,7,FALSE)=11400,VLOOKUP(C24,'CÁLCULO CONDUCTORES DE MT'!$D$17:$BE$261,7,FALSE)=13200,VLOOKUP(C24,'CÁLCULO CONDUCTORES DE MT'!$D$17:$BE$261,7,FALSE)=13800),LOOKUP(AZ24,'CONDCUTORES MT'!$A$31:$A$41,'CONDCUTORES MT'!$D$31:$D$41),LOOKUP(AZ24,'CONDCUTORES MT'!$A$46:$A$54,'CONDCUTORES MT'!$D$46:$D$54))))      ))),(MID(K24,1,1))*(LOOKUP(AZ24,'CONDCUTORES MT'!$A$83:$A$86,'CONDCUTORES MT'!$D$83:$D$86))),"--")</f>
        <v>#N/A</v>
      </c>
      <c r="AH24" s="1139" t="e">
        <f t="shared" si="6"/>
        <v>#N/A</v>
      </c>
      <c r="AI24" s="1139" t="e">
        <f t="shared" si="7"/>
        <v>#N/A</v>
      </c>
      <c r="AJ24" s="1140" t="e">
        <f t="shared" si="8"/>
        <v>#N/A</v>
      </c>
      <c r="AK24" s="1141" t="e">
        <f t="shared" si="9"/>
        <v>#N/A</v>
      </c>
      <c r="AL24" s="1140" t="e">
        <f t="shared" si="10"/>
        <v>#N/A</v>
      </c>
      <c r="AM24" s="1140" t="e">
        <f t="shared" si="11"/>
        <v>#N/A</v>
      </c>
      <c r="AN24" s="1142" t="e">
        <f t="shared" si="12"/>
        <v>#N/A</v>
      </c>
      <c r="AO24" s="901">
        <v>1</v>
      </c>
      <c r="AP24" s="943" t="s">
        <v>648</v>
      </c>
      <c r="AQ24" s="944" t="s">
        <v>624</v>
      </c>
      <c r="AR24" s="945" t="s">
        <v>629</v>
      </c>
      <c r="AS24" s="945" t="s">
        <v>1158</v>
      </c>
      <c r="AT24" s="906" t="s">
        <v>605</v>
      </c>
      <c r="AU24" s="946" t="s">
        <v>599</v>
      </c>
      <c r="AV24" s="906" t="s">
        <v>605</v>
      </c>
      <c r="AW24" s="946" t="e">
        <f>+VLOOKUP(C24,'CÁLCULO CONDUCTORES DE MT'!$D$2:$AG$263,21,FALSE)</f>
        <v>#N/A</v>
      </c>
      <c r="AX24" s="903" t="e">
        <f>+VLOOKUP(C24,'CÁLCULO CONDUCTORES DE MT'!$D$2:$BE$263,31,FALSE)</f>
        <v>#N/A</v>
      </c>
      <c r="AY24" s="947" t="e">
        <f>IF((VLOOKUP(C24,'CÁLCULO CONDUCTORES DE MT'!$D$2:$BE$263,47,FALSE))="No",LOOKUP((IF(VLOOKUP(C24,'CÁLCULO CONDUCTORES DE MT'!$D$2:$BE$263,15,FALSE)="VER NOTAS",15,VLOOKUP(C24,'CÁLCULO CONDUCTORES DE MT'!$D$2:$BE$263,15,FALSE))),CONDUCTORES!$A$111:$A$131,IF(VLOOKUP(C24,'CÁLCULO CONDUCTORES DE MT'!$D$2:$BE$263,35,FALSE)="Cu",CONDUCTORES!$B$111:$B$131,CONDUCTORES!$C$111:$C$131)),VLOOKUP(C24,'CÁLCULO CONDUCTORES DE MT'!$D$2:$BE$263,47,FALSE))</f>
        <v>#N/A</v>
      </c>
      <c r="AZ24" s="948" t="e">
        <f>VLOOKUP(C24,'CÁLCULO CONDUCTORES DE MT'!$D$2:$BS$263,58,FALSE)</f>
        <v>#N/A</v>
      </c>
      <c r="BA24" s="947" t="e">
        <f>IF((VLOOKUP(C24,'CÁLCULO CONDUCTORES DE MT'!$D$2:$BS$263,33,FALSE))="Monopolar",VLOOKUP(AY24,CONDUCTORES!$B$9:$X$23,23,FALSE)," ")</f>
        <v>#N/A</v>
      </c>
      <c r="BB24" s="949" t="e">
        <f>IF(OR(AW24="BANDEJA",AT24="Si"),IF(AI24="--","  ",IF(OR(AZ24&lt;=10,BA24&lt;=10),(BF24*100)/(AI24*15),(AF24/(VLOOKUP(AI24,CONDUITS!$A$25:$B$37,2,FALSE)))*100)),"  ")</f>
        <v>#N/A</v>
      </c>
      <c r="BC24" s="949" t="str">
        <f>IF(ISERROR(IF(OR(AW24="BANDEJA",AT24="Si"),IF(AI24="--","  ",((AF24)/(VLOOKUP(AI24,CONDUITS!$A$25:$C$37,3,FALSE)))*100),"  "))=TRUE,"",IF(OR(AW24="BANDEJA",AT24="Si"),IF(AI24="--","  ",((AF24)/(VLOOKUP(AI24,CONDUITS!$A$25:$C$37,3,FALSE)))*100),"  "))</f>
        <v/>
      </c>
      <c r="BD24" s="950" t="e">
        <f>(IF(OR(AW24&lt;&gt;"BANDEJA",AT24="Si"),IF(AB24="EMT",(IF(W24&lt;CONDUITS!$F$14,CONDUITS!$A$14,IF(W24&lt;CONDUITS!$F$15,CONDUITS!$A$15,IF(W24&lt;CONDUITS!$F$16,CONDUITS!$A$16,IF(W24&lt;CONDUITS!$F$17,CONDUITS!$A$17,IF(W24&lt;CONDUITS!$F$18,CONDUITS!$A$18,IF(W24&lt;CONDUITS!$F$19,CONDUITS!$A$19,CONDUITS!$A$17))))))),IF(AB24="IMC",(IF(W24&lt;CONDUITS!$K$14,CONDUITS!$A$14,IF(W24&lt;CONDUITS!$K$15,CONDUITS!$A$15,IF(W24&lt;CONDUITS!$K$16,CONDUITS!$A$16,IF(W24&lt;CONDUITS!$K$17,CONDUITS!$A$17,IF(W24&lt;CONDUITS!$K$18,CONDUITS!$A$18,IF(W24&lt;CONDUITS!$K$19,CONDUITS!$A$19,CONDUITS!$A$17))))))),IF(AB24="RMC",(IF(W24&lt;CONDUITS!$P$14,CONDUITS!$A$14,IF(W24&lt;CONDUITS!$P$15,CONDUITS!$A$15,IF(W24&lt;CONDUITS!$P$16,CONDUITS!$A$16,IF(W24&lt;CONDUITS!$P$17,CONDUITS!$A$17,IF(W24&lt;CONDUITS!$P$18,CONDUITS!$A$18,IF(W24&lt;CONDUITS!$P$19,CONDUITS!$A$19,CONDUITS!$A$18))))))),IF(OR(AB24="PVC",AB24="CONDUIT FLEXIBLE"),(IF(W24&lt;CONDUITS!$U$14,CONDUITS!$A$14,IF(W24&lt;CONDUITS!$U$15,CONDUITS!$A$15,IF(W24&lt;CONDUITS!$U$16,CONDUITS!$A$16,IF(W24&lt;CONDUITS!$U$17,CONDUITS!$A$17,IF(W24&lt;CONDUITS!$U$18,CONDUITS!$A$18,IF(W24&lt;CONDUITS!$U$19,CONDUITS!$A$19,CONDUITS!$A$18))))))),"NO")))),"  "))</f>
        <v>#N/A</v>
      </c>
      <c r="BE24" s="937">
        <f t="shared" si="0"/>
        <v>2</v>
      </c>
      <c r="BF24" s="942" t="e">
        <f>IF(OR(AW24="BANDEJA",AT24="SI"),IF((VLOOKUP(C24,'CÁLCULO CONDUCTORES DE MT'!$D$2:$AX$267,33,FALSE))="Monopolar",(IF((VLOOKUP(C24,'CÁLCULO CONDUCTORES DE MT'!$D$2:$AX$267,44,FALSE))="Si",((((VLOOKUP(C24,'CÁLCULO CONDUCTORES DE MT'!$D$2:$AX$267,32,FALSE))*(  VLOOKUP(C24,'CÁLCULO CONDUCTORES DE MT'!$D$2:$AX$267,22,FALSE)))*(IF(OR(VLOOKUP(C24,'CÁLCULO CONDUCTORES DE MT'!$D$17:$BE$261,7,FALSE)=2300,VLOOKUP(C24,'CÁLCULO CONDUCTORES DE MT'!$D$17:$BE$261,7,FALSE)=4160),LOOKUP(AZ24,'CONDCUTORES MT'!$A$20:$A$28,'CONDCUTORES MT'!$D$20:$D$28),IF(OR(VLOOKUP(C24,'CÁLCULO CONDUCTORES DE MT'!$D$17:$BE$261,7,FALSE)=11400,VLOOKUP(C24,'CÁLCULO CONDUCTORES DE MT'!$D$17:$BE$261,7,FALSE)=13200,VLOOKUP(C24,'CÁLCULO CONDUCTORES DE MT'!$D$17:$BE$261,7,FALSE)=13800),LOOKUP(AZ24,'CONDCUTORES MT'!$A$31:$A$41,'CONDCUTORES MT'!$D$31:$D$41),LOOKUP(AZ24,'CONDCUTORES MT'!$A$46:$A$54,'CONDCUTORES MT'!$D$46:$D$54)))))+((VLOOKUP(C24,'CÁLCULO CONDUCTORES DE MT'!$D$2:$AX$267,32,FALSE))*(LOOKUP(AZ24,'CONDCUTORES MT'!$A$46:$A$203,'CONDCUTORES MT'!$D$46:$D$54)))),        (((VLOOKUP(C24,'CÁLCULO CONDUCTORES DE MT'!$D$2:$AX$267,32,FALSE))*   (  VLOOKUP(C24,'CÁLCULO CONDUCTORES DE MT'!$D$2:$AX$267,22,FALSE))  )*      (IF(OR(VLOOKUP(C24,'CÁLCULO CONDUCTORES DE MT'!$D$17:$BE$261,7,FALSE)=2300,VLOOKUP(C24,'CÁLCULO CONDUCTORES DE MT'!$D$17:$BE$261,7,FALSE)=4160),LOOKUP(AZ24,'CONDCUTORES MT'!$A$20:$A$28,'CONDCUTORES MT'!$D$20:$D$28),IF(OR(VLOOKUP(C24,'CÁLCULO CONDUCTORES DE MT'!$D$17:$BE$261,7,FALSE)=11400,VLOOKUP(C24,'CÁLCULO CONDUCTORES DE MT'!$D$17:$BE$261,7,FALSE)=13200,VLOOKUP(C24,'CÁLCULO CONDUCTORES DE MT'!$D$17:$BE$261,7,FALSE)=13800),LOOKUP(AZ24,'CONDCUTORES MT'!$A$31:$A$41,'CONDCUTORES MT'!$D$31:$D$41),LOOKUP(AZ24,'CONDCUTORES MT'!$A$46:$A$54,'CONDCUTORES MT'!$D$46:$D$54))))      ))),(MID(K24,1,1))*(LOOKUP(AZ24,'CONDCUTORES MT'!$A$83:$A$86,'CONDCUTORES MT'!$D$83:$D$86))),"--")</f>
        <v>#N/A</v>
      </c>
      <c r="BG24" s="951"/>
      <c r="BH24" s="952" t="s">
        <v>624</v>
      </c>
      <c r="BI24" s="1318"/>
      <c r="BJ24" s="464"/>
      <c r="BK24" s="1322"/>
      <c r="BL24" s="1322"/>
      <c r="BM24" s="1322"/>
      <c r="BN24" s="1322"/>
      <c r="BO24" s="1322"/>
      <c r="BP24" s="1322"/>
      <c r="BQ24" s="1322"/>
      <c r="BR24" s="1322"/>
      <c r="BS24" s="1322"/>
      <c r="BT24" s="1322"/>
      <c r="BU24" s="1322"/>
      <c r="BV24" s="1322"/>
      <c r="BW24" s="1322"/>
      <c r="BX24" s="1322"/>
      <c r="BY24" s="1322"/>
      <c r="BZ24" s="1322"/>
      <c r="CA24" s="1322"/>
      <c r="CB24" s="1322"/>
      <c r="CC24" s="1322"/>
      <c r="CD24" s="1322"/>
      <c r="CE24" s="1322"/>
      <c r="CF24" s="1322"/>
      <c r="CG24" s="1322"/>
      <c r="CH24" s="1322"/>
      <c r="CI24" s="1322"/>
      <c r="CJ24" s="1322"/>
      <c r="CK24" s="1322"/>
    </row>
    <row r="25" spans="1:89" s="580" customFormat="1" ht="32.1" hidden="1" customHeight="1" thickBot="1" x14ac:dyDescent="0.3">
      <c r="A25" s="1185">
        <v>10</v>
      </c>
      <c r="B25" s="1145" t="str">
        <f>+_xlfn.CONCAT($B$18,".",SUBTOTAL(103,$AO$19:AO25))</f>
        <v>4.2.0</v>
      </c>
      <c r="C25" s="1832" t="e">
        <f>+VLOOKUP(A25,'CÁLCULO CONDUCTORES DE MT'!$B$17:$BR$264,3,FALSE)</f>
        <v>#N/A</v>
      </c>
      <c r="D25" s="1833"/>
      <c r="E25" s="1834"/>
      <c r="F25" s="1832" t="e">
        <f>+VLOOKUP(C25,'CÁLCULO CONDUCTORES DE MT'!$D$2:$AG$263,2,FALSE)</f>
        <v>#N/A</v>
      </c>
      <c r="G25" s="1833"/>
      <c r="H25" s="1833"/>
      <c r="I25" s="1833"/>
      <c r="J25" s="1834"/>
      <c r="K25" s="1829" t="e">
        <f>+VLOOKUP(C25,'CÁLCULO CONDUCTORES DE MT'!$D$2:$AG$263,18,FALSE)</f>
        <v>#N/A</v>
      </c>
      <c r="L25" s="1830"/>
      <c r="M25" s="1830"/>
      <c r="N25" s="1830"/>
      <c r="O25" s="1831"/>
      <c r="P25" s="1826" t="e">
        <f>+VLOOKUP(C25,'CÁLCULO CONDUCTORES DE MT'!$D$2:$AG$263,17,FALSE)</f>
        <v>#N/A</v>
      </c>
      <c r="Q25" s="1827"/>
      <c r="R25" s="1827"/>
      <c r="S25" s="1827"/>
      <c r="T25" s="1827"/>
      <c r="U25" s="1828"/>
      <c r="V25" s="1121" t="e">
        <f>+VLOOKUP(C25,'CÁLCULO CONDUCTORES DE MT'!$D$2:$AG$269,4,FALSE)</f>
        <v>#N/A</v>
      </c>
      <c r="W25" s="1122" t="e">
        <f t="shared" si="1"/>
        <v>#N/A</v>
      </c>
      <c r="X25" s="1122" t="e">
        <f>IF(AW25="AÉREO","--",IF(OR(AW25&lt;&gt;"BANDEJA",AT25="Si"),IF(VLOOKUP(C25,'CÁLCULO CONDUCTORES DE MT'!$D$17:$BE$261,41,FALSE)="M",LOOKUP(AZ25,'CONDCUTORES MT'!$A$20:$A$28,'CONDCUTORES MT'!$X$20:$X$28),IF(VLOOKUP(C25,'CÁLCULO CONDUCTORES DE MT'!$D$17:$BE$261,7,FALSE)=34500,3*LOOKUP(AZ25,'CONDCUTORES MT'!$A$46:$A$54,'CONDCUTORES MT'!$E$46:$E$54),IF(VLOOKUP(C25,'CÁLCULO CONDUCTORES DE MT'!$D$17:$BE$261,33,FALSE)="Cable Armado",LOOKUP(AZ25,'CONDCUTORES MT'!$A$83:$A$86,'CONDCUTORES MT'!$E$83:$E$86),IF(AND(VLOOKUP(C25,'CÁLCULO CONDUCTORES DE MT'!$D$17:$BE$261,33,FALSE)="Monopolar",VLOOKUP(C25,'CÁLCULO CONDUCTORES DE MT'!$D$17:$BE$261,44,FALSE)="Si"),(3*IF(OR(VLOOKUP(C25,'CÁLCULO CONDUCTORES DE MT'!$D$17:$BE$261,7,FALSE)=11400,VLOOKUP(C25,'CÁLCULO CONDUCTORES DE MT'!$D$17:$BE$261,7,FALSE)=13200,VLOOKUP(C25,'CÁLCULO CONDUCTORES DE MT'!$D$17:$BE$261,7,FALSE)=13800),LOOKUP(AZ25,'CONDCUTORES MT'!$A$33:$A$41,'CONDCUTORES MT'!$E$33:$E$41),LOOKUP(AZ25,'CONDCUTORES MT'!$A$20:$A$28,'CONDCUTORES MT'!$E$20:$E$28)))+(LOOKUP(BA25,CONDUCTORES!$A$9:$A$23,CONDUCTORES!$F$9:$F$23)),IF(AND(VLOOKUP(C25,'CÁLCULO CONDUCTORES DE MT'!$D$17:$BE$261,33,FALSE)="Monopolar",VLOOKUP(C25,'CÁLCULO CONDUCTORES DE MT'!$D$17:$BE$261,44,FALSE)="No"),(3*IF(OR(VLOOKUP(C25,'CÁLCULO CONDUCTORES DE MT'!$D$17:$BE$261,7,FALSE)=11400,VLOOKUP(C25,'CÁLCULO CONDUCTORES DE MT'!$D$17:$BE$261,7,FALSE)=13200,VLOOKUP(C25,'CÁLCULO CONDUCTORES DE MT'!$D$17:$BE$261,7,FALSE)=13800),LOOKUP(AZ25,'CONDCUTORES MT'!$A$33:$A$41,'CONDCUTORES MT'!$E$33:$E$41),LOOKUP(AZ25,'CONDCUTORES MT'!$A$20:$A$28,'CONDCUTORES MT'!$E$20:$E$28))     ),"VERIFICAR CONDUCTOR"))))),"--"))</f>
        <v>#N/A</v>
      </c>
      <c r="Y25" s="1122" t="e">
        <f t="shared" si="2"/>
        <v>#N/A</v>
      </c>
      <c r="Z25" s="1123" t="e">
        <f>IF(AW25="AÉREO","--",IF(OR(AW25&lt;&gt;"BANDEJA",AT25="Si"),IF(AB25="--","--",VLOOKUP(BD25,CONDUITS!$A$14:$C$19,3,FALSE)),"--"))</f>
        <v>#N/A</v>
      </c>
      <c r="AA25" s="1124" t="e">
        <f t="shared" si="3"/>
        <v>#N/A</v>
      </c>
      <c r="AB25" s="1125" t="e">
        <f t="shared" si="4"/>
        <v>#N/A</v>
      </c>
      <c r="AC25" s="1126" t="e">
        <f>IF(MOD(MID(K25,1,1),IF(OR(AW25="BANDEJA",AW25="AÉREO"),1,AA25))=0,IF(AW25="AÉREO","--",IF(OR(AW25&lt;&gt;"BANDEJA",AT25="Si"),IF(AB25="EMT",(W25/VLOOKUP(BD25,CONDUITS!$A$14:$W$19,7)*100),IF(AB25="IMC",(W25/VLOOKUP(BD25,CONDUITS!$A$14:$W$19,12)*100),IF(AB25="RMC",(W25/VLOOKUP(BD25,CONDUITS!$A$14:$W$19,17)*100),IF(OR(AB25="PVC",AB25="CONDUIT FLEXIBLE"),(W25/VLOOKUP(BD25,CONDUITS!$A$14:$W$19,22)*100),"--")))),"--")),"NO")</f>
        <v>#N/A</v>
      </c>
      <c r="AD25" s="1127" t="e">
        <f t="shared" si="5"/>
        <v>#N/A</v>
      </c>
      <c r="AE25" s="1124" t="e">
        <f>IF(OR(AW25="BANDEJA",AT25="SI"),(IF((VLOOKUP(C25,'CÁLCULO CONDUCTORES DE MT'!$D$2:$AX$267,33,FALSE))="Monopolar",(IF((VLOOKUP(C25,'CÁLCULO CONDUCTORES DE MT'!$D$2:$AX$267,44,FALSE))="Si",(((VLOOKUP(C25,'CÁLCULO CONDUCTORES DE MT'!$D$2:$AX$267,32,FALSE))*(VLOOKUP(C25,'CÁLCULO CONDUCTORES DE MT'!$D$2:$AX$267,22,FALSE)))+(VLOOKUP(C25,'CÁLCULO CONDUCTORES DE MT'!$D$2:$AX$267,32,FALSE))),((VLOOKUP(C25,'CÁLCULO CONDUCTORES DE MT'!$D$2:$AX$267,32,FALSE))*(VLOOKUP(C25,'CÁLCULO CONDUCTORES DE MT'!$D$2:$AX$267,22,FALSE))))),IF((VLOOKUP(C25,'CÁLCULO CONDUCTORES DE MT'!$D$2:$AX$267,32,FALSE))="Cable Armado",((VLOOKUP(C25,'CÁLCULO CONDUCTORES DE MT'!$D$2:$AX$267,32,FALSE))*(VLOOKUP(C25,'CÁLCULO CONDUCTORES DE MT'!$D$2:$AX$267,22,FALSE))),MID(K25,1,1)))),"--")</f>
        <v>#N/A</v>
      </c>
      <c r="AF25" s="1124" t="e">
        <f>IF(OR(AW25="BANDEJA",AT25="SI"),IF((VLOOKUP(C25,'CÁLCULO CONDUCTORES DE MT'!$D$2:$AX$267,33,FALSE))="Monopolar",(IF((VLOOKUP(C25,'CÁLCULO CONDUCTORES DE MT'!$D$2:$AX$267,44,FALSE))="Si",((((VLOOKUP(C25,'CÁLCULO CONDUCTORES DE MT'!$D$2:$AX$267,32,FALSE))*(VLOOKUP(C25,'CÁLCULO CONDUCTORES DE MT'!$D$2:$AX$267,22,FALSE)))*(IF(OR(VLOOKUP(C25,'CÁLCULO CONDUCTORES DE MT'!$D$17:$BE$261,7,FALSE)=2300,VLOOKUP(C25,'CÁLCULO CONDUCTORES DE MT'!$D$17:$BE$261,7,FALSE)=4160),LOOKUP(AZ25,'CONDCUTORES MT'!$A$20:$A$28,'CONDCUTORES MT'!$E$20:$E$28),IF(OR(VLOOKUP(C25,'CÁLCULO CONDUCTORES DE MT'!$D$17:$BE$261,7,FALSE)=11400,VLOOKUP(C25,'CÁLCULO CONDUCTORES DE MT'!$D$17:$BE$261,7,FALSE)=13200,VLOOKUP(C25,'CÁLCULO CONDUCTORES DE MT'!$D$17:$BE$261,7,FALSE)=13800),LOOKUP(AZ25,'CONDCUTORES MT'!$A$31:$A$41,'CONDCUTORES MT'!$E$31:$E$41),LOOKUP(AZ25,'CONDCUTORES MT'!$A$46:$A$54,'CONDCUTORES MT'!$E$46:$E$54)))))+((VLOOKUP(C25,'CÁLCULO CONDUCTORES DE MT'!$D$2:$AX$267,32,FALSE))*(LOOKUP(BA25,CONDUCTORES!$A$9:$A$62,CONDUCTORES!$F$9:$F$62)))),((AE25)*(IF(OR(VLOOKUP(C25,'CÁLCULO CONDUCTORES DE MT'!$D$17:$BE$261,7,FALSE)=2300,VLOOKUP(C25,'CÁLCULO CONDUCTORES DE MT'!$D$17:$BE$261,7,FALSE)=4160),LOOKUP(AZ25,'CONDCUTORES MT'!$A$20:$A$28,'CONDCUTORES MT'!$E$20:$E$28),IF(OR(VLOOKUP(C25,'CÁLCULO CONDUCTORES DE MT'!$D$17:$BE$261,7,FALSE)=11400,VLOOKUP(C25,'CÁLCULO CONDUCTORES DE MT'!$D$17:$BE$261,7,FALSE)=13200,VLOOKUP(C25,'CÁLCULO CONDUCTORES DE MT'!$D$17:$BE$261,7,FALSE)=13800),LOOKUP(AZ25,'CONDCUTORES MT'!$A$31:$A$41,'CONDCUTORES MT'!$E$31:$E$41),LOOKUP(AZ25,'CONDCUTORES MT'!$A$46:$A$54,'CONDCUTORES MT'!$E$46:$E$54))))))),(IF((VLOOKUP(C25,'CÁLCULO CONDUCTORES DE MT'!$D$2:$AX$267,33,FALSE))="Cable Armado",((AE25)*(LOOKUP(AZ25,'CONDCUTORES MT'!$A$83:$A$86,'CONDCUTORES MT'!$E$83:$E$86))),"N/A"))),"--")</f>
        <v>#N/A</v>
      </c>
      <c r="AG25" s="1128" t="e">
        <f>IF(OR(AW25="BANDEJA",AT25="SI"),IF((VLOOKUP(C25,'CÁLCULO CONDUCTORES DE MT'!$D$2:$AX$267,33,FALSE))="Monopolar",(IF((VLOOKUP(C25,'CÁLCULO CONDUCTORES DE MT'!$D$2:$AX$267,44,FALSE))="Si",((((VLOOKUP(C25,'CÁLCULO CONDUCTORES DE MT'!$D$2:$AX$267,32,FALSE))*(  IF(AS25="Horizontal", VLOOKUP(C25,'CÁLCULO CONDUCTORES DE MT'!$D$2:$AX$267,22,FALSE), IF(OR(VLOOKUP(C25,'CÁLCULO CONDUCTORES DE MT'!$D$2:$AX$267,22,FALSE)=3,VLOOKUP(C25,'CÁLCULO CONDUCTORES DE MT'!$D$2:$AX$267,22,FALSE)=6,VLOOKUP(C25,'CÁLCULO CONDUCTORES DE MT'!$D$2:$AX$267,22,FALSE)=9,VLOOKUP(C25,'CÁLCULO CONDUCTORES DE MT'!$D$2:$AX$267,22,FALSE)=12,VLOOKUP(C25,'CÁLCULO CONDUCTORES DE MT'!$D$2:$AX$267,22,FALSE)=15),((VLOOKUP(C25,'CÁLCULO CONDUCTORES DE MT'!$D$2:$AX$267,22,FALSE))-((VLOOKUP(C25,'CÁLCULO CONDUCTORES DE MT'!$D$2:$AX$267,22,FALSE))/3)) ) ) ))*(IF(OR(VLOOKUP(C25,'CÁLCULO CONDUCTORES DE MT'!$D$17:$BE$261,7,FALSE)=2300,VLOOKUP(C25,'CÁLCULO CONDUCTORES DE MT'!$D$17:$BE$261,7,FALSE)=4160),LOOKUP(AZ25,'CONDCUTORES MT'!$A$20:$A$28,'CONDCUTORES MT'!$D$20:$D$28),IF(OR(VLOOKUP(C25,'CÁLCULO CONDUCTORES DE MT'!$D$17:$BE$261,7,FALSE)=11400,VLOOKUP(C25,'CÁLCULO CONDUCTORES DE MT'!$D$17:$BE$261,7,FALSE)=13200,VLOOKUP(C25,'CÁLCULO CONDUCTORES DE MT'!$D$17:$BE$261,7,FALSE)=13800),LOOKUP(AZ25,'CONDCUTORES MT'!$A$31:$A$41,'CONDCUTORES MT'!$D$31:$D$41),LOOKUP(AZ25,'CONDCUTORES MT'!$A$46:$A$54,'CONDCUTORES MT'!$D$46:$D$54)))))+((VLOOKUP(C25,'CÁLCULO CONDUCTORES DE MT'!$D$2:$AX$267,32,FALSE))*(LOOKUP(AZ25,'CONDCUTORES MT'!$A$46:$A$203,'CONDCUTORES MT'!$D$46:$D$54)))),        (((VLOOKUP(C25,'CÁLCULO CONDUCTORES DE MT'!$D$2:$AX$267,32,FALSE))*   (  IF(AS25="Horizontal", VLOOKUP(C25,'CÁLCULO CONDUCTORES DE MT'!$D$2:$AX$267,22,FALSE), IF(OR(VLOOKUP(C25,'CÁLCULO CONDUCTORES DE MT'!$D$2:$AX$267,22,FALSE)=3,VLOOKUP(C25,'CÁLCULO CONDUCTORES DE MT'!$D$2:$AX$267,22,FALSE)=6,VLOOKUP(C25,'CÁLCULO CONDUCTORES DE MT'!$D$2:$AX$267,22,FALSE)=9,VLOOKUP(C25,'CÁLCULO CONDUCTORES DE MT'!$D$2:$AX$267,22,FALSE)=12,VLOOKUP(C25,'CÁLCULO CONDUCTORES DE MT'!$D$2:$AX$267,22,FALSE)=15),((VLOOKUP(C25,'CÁLCULO CONDUCTORES DE MT'!$D$2:$AX$267,22,FALSE))-((VLOOKUP(C25,'CÁLCULO CONDUCTORES DE MT'!$D$2:$AX$267,22,FALSE))/3)) ) ) )  )*      (IF(OR(VLOOKUP(C25,'CÁLCULO CONDUCTORES DE MT'!$D$17:$BE$261,7,FALSE)=2300,VLOOKUP(C25,'CÁLCULO CONDUCTORES DE MT'!$D$17:$BE$261,7,FALSE)=4160),LOOKUP(AZ25,'CONDCUTORES MT'!$A$20:$A$28,'CONDCUTORES MT'!$D$20:$D$28),IF(OR(VLOOKUP(C25,'CÁLCULO CONDUCTORES DE MT'!$D$17:$BE$261,7,FALSE)=11400,VLOOKUP(C25,'CÁLCULO CONDUCTORES DE MT'!$D$17:$BE$261,7,FALSE)=13200,VLOOKUP(C25,'CÁLCULO CONDUCTORES DE MT'!$D$17:$BE$261,7,FALSE)=13800),LOOKUP(AZ25,'CONDCUTORES MT'!$A$31:$A$41,'CONDCUTORES MT'!$D$31:$D$41),LOOKUP(AZ25,'CONDCUTORES MT'!$A$46:$A$54,'CONDCUTORES MT'!$D$46:$D$54))))      ))),(MID(K25,1,1))*(LOOKUP(AZ25,'CONDCUTORES MT'!$A$83:$A$86,'CONDCUTORES MT'!$D$83:$D$86))),"--")</f>
        <v>#N/A</v>
      </c>
      <c r="AH25" s="1128" t="e">
        <f t="shared" si="6"/>
        <v>#N/A</v>
      </c>
      <c r="AI25" s="1128" t="e">
        <f t="shared" si="7"/>
        <v>#N/A</v>
      </c>
      <c r="AJ25" s="1129" t="e">
        <f t="shared" si="8"/>
        <v>#N/A</v>
      </c>
      <c r="AK25" s="1130" t="e">
        <f t="shared" si="9"/>
        <v>#N/A</v>
      </c>
      <c r="AL25" s="1129" t="e">
        <f t="shared" si="10"/>
        <v>#N/A</v>
      </c>
      <c r="AM25" s="1129" t="e">
        <f t="shared" si="11"/>
        <v>#N/A</v>
      </c>
      <c r="AN25" s="1131" t="e">
        <f t="shared" si="12"/>
        <v>#N/A</v>
      </c>
      <c r="AO25" s="901">
        <v>1</v>
      </c>
      <c r="AP25" s="943" t="s">
        <v>648</v>
      </c>
      <c r="AQ25" s="944" t="s">
        <v>624</v>
      </c>
      <c r="AR25" s="945" t="s">
        <v>629</v>
      </c>
      <c r="AS25" s="945" t="s">
        <v>1158</v>
      </c>
      <c r="AT25" s="906" t="s">
        <v>605</v>
      </c>
      <c r="AU25" s="946" t="s">
        <v>599</v>
      </c>
      <c r="AV25" s="906" t="s">
        <v>605</v>
      </c>
      <c r="AW25" s="946" t="e">
        <f>+VLOOKUP(C25,'CÁLCULO CONDUCTORES DE MT'!$D$2:$AG$263,21,FALSE)</f>
        <v>#N/A</v>
      </c>
      <c r="AX25" s="903" t="e">
        <f>+VLOOKUP(C25,'CÁLCULO CONDUCTORES DE MT'!$D$2:$BE$263,31,FALSE)</f>
        <v>#N/A</v>
      </c>
      <c r="AY25" s="947" t="e">
        <f>IF((VLOOKUP(C25,'CÁLCULO CONDUCTORES DE MT'!$D$2:$BE$263,47,FALSE))="No",LOOKUP((IF(VLOOKUP(C25,'CÁLCULO CONDUCTORES DE MT'!$D$2:$BE$263,15,FALSE)="VER NOTAS",15,VLOOKUP(C25,'CÁLCULO CONDUCTORES DE MT'!$D$2:$BE$263,15,FALSE))),CONDUCTORES!$A$111:$A$131,IF(VLOOKUP(C25,'CÁLCULO CONDUCTORES DE MT'!$D$2:$BE$263,35,FALSE)="Cu",CONDUCTORES!$B$111:$B$131,CONDUCTORES!$C$111:$C$131)),VLOOKUP(C25,'CÁLCULO CONDUCTORES DE MT'!$D$2:$BE$263,47,FALSE))</f>
        <v>#N/A</v>
      </c>
      <c r="AZ25" s="948" t="e">
        <f>VLOOKUP(C25,'CÁLCULO CONDUCTORES DE MT'!$D$2:$BS$263,58,FALSE)</f>
        <v>#N/A</v>
      </c>
      <c r="BA25" s="947" t="e">
        <f>IF((VLOOKUP(C25,'CÁLCULO CONDUCTORES DE MT'!$D$2:$BS$263,33,FALSE))="Monopolar",VLOOKUP(AY25,CONDUCTORES!$B$9:$X$23,23,FALSE)," ")</f>
        <v>#N/A</v>
      </c>
      <c r="BB25" s="949" t="e">
        <f>IF(OR(AW25="BANDEJA",AT25="Si"),IF(AI25="--","  ",IF(OR(AZ25&lt;=10,BA25&lt;=10),(BF25*100)/(AI25*15),(AF25/(VLOOKUP(AI25,CONDUITS!$A$25:$B$37,2,FALSE)))*100)),"  ")</f>
        <v>#N/A</v>
      </c>
      <c r="BC25" s="949" t="str">
        <f>IF(ISERROR(IF(OR(AW25="BANDEJA",AT25="Si"),IF(AI25="--","  ",((AF25)/(VLOOKUP(AI25,CONDUITS!$A$25:$C$37,3,FALSE)))*100),"  "))=TRUE,"",IF(OR(AW25="BANDEJA",AT25="Si"),IF(AI25="--","  ",((AF25)/(VLOOKUP(AI25,CONDUITS!$A$25:$C$37,3,FALSE)))*100),"  "))</f>
        <v/>
      </c>
      <c r="BD25" s="950" t="e">
        <f>(IF(OR(AW25&lt;&gt;"BANDEJA",AT25="Si"),IF(AB25="EMT",(IF(W25&lt;CONDUITS!$F$14,CONDUITS!$A$14,IF(W25&lt;CONDUITS!$F$15,CONDUITS!$A$15,IF(W25&lt;CONDUITS!$F$16,CONDUITS!$A$16,IF(W25&lt;CONDUITS!$F$17,CONDUITS!$A$17,IF(W25&lt;CONDUITS!$F$18,CONDUITS!$A$18,IF(W25&lt;CONDUITS!$F$19,CONDUITS!$A$19,CONDUITS!$A$17))))))),IF(AB25="IMC",(IF(W25&lt;CONDUITS!$K$14,CONDUITS!$A$14,IF(W25&lt;CONDUITS!$K$15,CONDUITS!$A$15,IF(W25&lt;CONDUITS!$K$16,CONDUITS!$A$16,IF(W25&lt;CONDUITS!$K$17,CONDUITS!$A$17,IF(W25&lt;CONDUITS!$K$18,CONDUITS!$A$18,IF(W25&lt;CONDUITS!$K$19,CONDUITS!$A$19,CONDUITS!$A$17))))))),IF(AB25="RMC",(IF(W25&lt;CONDUITS!$P$14,CONDUITS!$A$14,IF(W25&lt;CONDUITS!$P$15,CONDUITS!$A$15,IF(W25&lt;CONDUITS!$P$16,CONDUITS!$A$16,IF(W25&lt;CONDUITS!$P$17,CONDUITS!$A$17,IF(W25&lt;CONDUITS!$P$18,CONDUITS!$A$18,IF(W25&lt;CONDUITS!$P$19,CONDUITS!$A$19,CONDUITS!$A$18))))))),IF(OR(AB25="PVC",AB25="CONDUIT FLEXIBLE"),(IF(W25&lt;CONDUITS!$U$14,CONDUITS!$A$14,IF(W25&lt;CONDUITS!$U$15,CONDUITS!$A$15,IF(W25&lt;CONDUITS!$U$16,CONDUITS!$A$16,IF(W25&lt;CONDUITS!$U$17,CONDUITS!$A$17,IF(W25&lt;CONDUITS!$U$18,CONDUITS!$A$18,IF(W25&lt;CONDUITS!$U$19,CONDUITS!$A$19,CONDUITS!$A$18))))))),"NO")))),"  "))</f>
        <v>#N/A</v>
      </c>
      <c r="BE25" s="937">
        <f t="shared" si="0"/>
        <v>2</v>
      </c>
      <c r="BF25" s="942" t="e">
        <f>IF(OR(AW25="BANDEJA",AT25="SI"),IF((VLOOKUP(C25,'CÁLCULO CONDUCTORES DE MT'!$D$2:$AX$267,33,FALSE))="Monopolar",(IF((VLOOKUP(C25,'CÁLCULO CONDUCTORES DE MT'!$D$2:$AX$267,44,FALSE))="Si",((((VLOOKUP(C25,'CÁLCULO CONDUCTORES DE MT'!$D$2:$AX$267,32,FALSE))*(  VLOOKUP(C25,'CÁLCULO CONDUCTORES DE MT'!$D$2:$AX$267,22,FALSE)))*(IF(OR(VLOOKUP(C25,'CÁLCULO CONDUCTORES DE MT'!$D$17:$BE$261,7,FALSE)=2300,VLOOKUP(C25,'CÁLCULO CONDUCTORES DE MT'!$D$17:$BE$261,7,FALSE)=4160),LOOKUP(AZ25,'CONDCUTORES MT'!$A$20:$A$28,'CONDCUTORES MT'!$D$20:$D$28),IF(OR(VLOOKUP(C25,'CÁLCULO CONDUCTORES DE MT'!$D$17:$BE$261,7,FALSE)=11400,VLOOKUP(C25,'CÁLCULO CONDUCTORES DE MT'!$D$17:$BE$261,7,FALSE)=13200,VLOOKUP(C25,'CÁLCULO CONDUCTORES DE MT'!$D$17:$BE$261,7,FALSE)=13800),LOOKUP(AZ25,'CONDCUTORES MT'!$A$31:$A$41,'CONDCUTORES MT'!$D$31:$D$41),LOOKUP(AZ25,'CONDCUTORES MT'!$A$46:$A$54,'CONDCUTORES MT'!$D$46:$D$54)))))+((VLOOKUP(C25,'CÁLCULO CONDUCTORES DE MT'!$D$2:$AX$267,32,FALSE))*(LOOKUP(AZ25,'CONDCUTORES MT'!$A$46:$A$203,'CONDCUTORES MT'!$D$46:$D$54)))),        (((VLOOKUP(C25,'CÁLCULO CONDUCTORES DE MT'!$D$2:$AX$267,32,FALSE))*   (  VLOOKUP(C25,'CÁLCULO CONDUCTORES DE MT'!$D$2:$AX$267,22,FALSE))  )*      (IF(OR(VLOOKUP(C25,'CÁLCULO CONDUCTORES DE MT'!$D$17:$BE$261,7,FALSE)=2300,VLOOKUP(C25,'CÁLCULO CONDUCTORES DE MT'!$D$17:$BE$261,7,FALSE)=4160),LOOKUP(AZ25,'CONDCUTORES MT'!$A$20:$A$28,'CONDCUTORES MT'!$D$20:$D$28),IF(OR(VLOOKUP(C25,'CÁLCULO CONDUCTORES DE MT'!$D$17:$BE$261,7,FALSE)=11400,VLOOKUP(C25,'CÁLCULO CONDUCTORES DE MT'!$D$17:$BE$261,7,FALSE)=13200,VLOOKUP(C25,'CÁLCULO CONDUCTORES DE MT'!$D$17:$BE$261,7,FALSE)=13800),LOOKUP(AZ25,'CONDCUTORES MT'!$A$31:$A$41,'CONDCUTORES MT'!$D$31:$D$41),LOOKUP(AZ25,'CONDCUTORES MT'!$A$46:$A$54,'CONDCUTORES MT'!$D$46:$D$54))))      ))),(MID(K25,1,1))*(LOOKUP(AZ25,'CONDCUTORES MT'!$A$83:$A$86,'CONDCUTORES MT'!$D$83:$D$86))),"--")</f>
        <v>#N/A</v>
      </c>
      <c r="BG25" s="951"/>
      <c r="BH25" s="952" t="s">
        <v>624</v>
      </c>
      <c r="BI25" s="1318"/>
      <c r="BJ25" s="464"/>
      <c r="BK25" s="1322"/>
      <c r="BL25" s="1322"/>
      <c r="BM25" s="1322"/>
      <c r="BN25" s="1322"/>
      <c r="BO25" s="1322"/>
      <c r="BP25" s="1322"/>
      <c r="BQ25" s="1322"/>
      <c r="BR25" s="1322"/>
      <c r="BS25" s="1322"/>
      <c r="BT25" s="1322"/>
      <c r="BU25" s="1322"/>
      <c r="BV25" s="1322"/>
      <c r="BW25" s="1322"/>
      <c r="BX25" s="1322"/>
      <c r="BY25" s="1322"/>
      <c r="BZ25" s="1322"/>
      <c r="CA25" s="1322"/>
      <c r="CB25" s="1322"/>
      <c r="CC25" s="1322"/>
      <c r="CD25" s="1322"/>
      <c r="CE25" s="1322"/>
      <c r="CF25" s="1322"/>
      <c r="CG25" s="1322"/>
      <c r="CH25" s="1322"/>
      <c r="CI25" s="1322"/>
      <c r="CJ25" s="1322"/>
      <c r="CK25" s="1322"/>
    </row>
    <row r="26" spans="1:89" s="545" customFormat="1" ht="21.9" customHeight="1" thickBot="1" x14ac:dyDescent="0.3">
      <c r="A26" s="1186"/>
      <c r="B26" s="1815" t="s">
        <v>1092</v>
      </c>
      <c r="C26" s="1815"/>
      <c r="D26" s="1815"/>
      <c r="E26" s="1815"/>
      <c r="F26" s="1815"/>
      <c r="G26" s="1815"/>
      <c r="H26" s="1815"/>
      <c r="I26" s="1815"/>
      <c r="J26" s="1815"/>
      <c r="K26" s="1815"/>
      <c r="L26" s="1815"/>
      <c r="M26" s="1815"/>
      <c r="N26" s="1815"/>
      <c r="O26" s="1815"/>
      <c r="P26" s="1815"/>
      <c r="Q26" s="1815"/>
      <c r="R26" s="1815"/>
      <c r="S26" s="1815"/>
      <c r="T26" s="1815"/>
      <c r="U26" s="1815"/>
      <c r="V26" s="1815"/>
      <c r="W26" s="1815"/>
      <c r="X26" s="1815"/>
      <c r="Y26" s="1815"/>
      <c r="Z26" s="1815"/>
      <c r="AA26" s="1815"/>
      <c r="AB26" s="1815"/>
      <c r="AC26" s="1815"/>
      <c r="AD26" s="1815"/>
      <c r="AE26" s="1815"/>
      <c r="AF26" s="1815"/>
      <c r="AG26" s="1815"/>
      <c r="AH26" s="1815"/>
      <c r="AI26" s="1815"/>
      <c r="AJ26" s="1815"/>
      <c r="AK26" s="1815"/>
      <c r="AL26" s="1815"/>
      <c r="AM26" s="1815"/>
      <c r="AN26" s="1815"/>
      <c r="AO26" s="940"/>
      <c r="AP26" s="940"/>
      <c r="AQ26" s="940"/>
      <c r="AR26" s="940"/>
      <c r="AS26" s="940"/>
      <c r="AT26" s="940"/>
      <c r="AU26" s="940"/>
      <c r="AV26" s="940"/>
      <c r="AW26" s="940"/>
      <c r="AX26" s="920"/>
      <c r="AY26" s="920"/>
      <c r="AZ26" s="920"/>
      <c r="BA26" s="920"/>
      <c r="BB26" s="920"/>
      <c r="BC26" s="920"/>
      <c r="BD26" s="920"/>
      <c r="BE26" s="937">
        <f t="shared" si="0"/>
        <v>0</v>
      </c>
      <c r="BF26" s="942"/>
      <c r="BG26" s="920"/>
      <c r="BH26" s="920"/>
      <c r="BJ26" s="341"/>
      <c r="BK26" s="1321"/>
      <c r="BL26" s="1321"/>
      <c r="BM26" s="1321"/>
      <c r="BN26" s="1321"/>
      <c r="BO26" s="1321"/>
      <c r="BP26" s="1321"/>
      <c r="BQ26" s="1321"/>
      <c r="BR26" s="1321"/>
      <c r="BS26" s="1321"/>
      <c r="BT26" s="1321"/>
      <c r="BU26" s="1321"/>
      <c r="BV26" s="1321"/>
      <c r="BW26" s="1321"/>
      <c r="BX26" s="1321"/>
      <c r="BY26" s="1321"/>
      <c r="BZ26" s="1321"/>
      <c r="CA26" s="1321"/>
      <c r="CB26" s="1321"/>
      <c r="CC26" s="1321"/>
      <c r="CD26" s="1321"/>
      <c r="CE26" s="1321"/>
      <c r="CF26" s="1321"/>
      <c r="CG26" s="1321"/>
      <c r="CH26" s="1321"/>
      <c r="CI26" s="1321"/>
      <c r="CJ26" s="1321"/>
      <c r="CK26" s="1321"/>
    </row>
    <row r="27" spans="1:89" s="545" customFormat="1" ht="21.9" customHeight="1" thickBot="1" x14ac:dyDescent="0.3">
      <c r="A27" s="1185">
        <f>IF(OR(BE27=0,BE27=1),0,COUNTIF(BE$26:BE27,BE27))</f>
        <v>0</v>
      </c>
      <c r="B27" s="1143" t="s">
        <v>1159</v>
      </c>
      <c r="C27" s="1792" t="str">
        <f>+'H2-CONDUCTORES DE BT'!D17</f>
        <v>ALIMENTADORES 480 V</v>
      </c>
      <c r="D27" s="1792"/>
      <c r="E27" s="1792"/>
      <c r="F27" s="1792"/>
      <c r="G27" s="1792"/>
      <c r="H27" s="1792"/>
      <c r="I27" s="1792"/>
      <c r="J27" s="1792"/>
      <c r="K27" s="1792"/>
      <c r="L27" s="1792"/>
      <c r="M27" s="1792"/>
      <c r="N27" s="1792"/>
      <c r="O27" s="1792"/>
      <c r="P27" s="1792"/>
      <c r="Q27" s="1792"/>
      <c r="R27" s="1792"/>
      <c r="S27" s="1792"/>
      <c r="T27" s="1792"/>
      <c r="U27" s="1792"/>
      <c r="V27" s="1792"/>
      <c r="W27" s="1792"/>
      <c r="X27" s="1792"/>
      <c r="Y27" s="1792"/>
      <c r="Z27" s="1792"/>
      <c r="AA27" s="1792"/>
      <c r="AB27" s="1792"/>
      <c r="AC27" s="1792"/>
      <c r="AD27" s="1792"/>
      <c r="AE27" s="1792"/>
      <c r="AF27" s="1792"/>
      <c r="AG27" s="1792"/>
      <c r="AH27" s="1792"/>
      <c r="AI27" s="1792"/>
      <c r="AJ27" s="1792"/>
      <c r="AK27" s="1792"/>
      <c r="AL27" s="1792"/>
      <c r="AM27" s="1792"/>
      <c r="AN27" s="1792"/>
      <c r="AO27" s="935"/>
      <c r="AP27" s="935"/>
      <c r="AQ27" s="935"/>
      <c r="AR27" s="935"/>
      <c r="AS27" s="935"/>
      <c r="AT27" s="935"/>
      <c r="AU27" s="941"/>
      <c r="AV27" s="941"/>
      <c r="AW27" s="941"/>
      <c r="AX27" s="941"/>
      <c r="AY27" s="941"/>
      <c r="AZ27" s="941"/>
      <c r="BA27" s="935"/>
      <c r="BB27" s="940"/>
      <c r="BC27" s="936"/>
      <c r="BD27" s="936"/>
      <c r="BE27" s="937">
        <f t="shared" si="0"/>
        <v>1</v>
      </c>
      <c r="BF27" s="942"/>
      <c r="BG27" s="938"/>
      <c r="BH27" s="941"/>
      <c r="BI27" s="587"/>
      <c r="BJ27" s="341"/>
      <c r="BK27" s="1321"/>
      <c r="BL27" s="1321"/>
      <c r="BM27" s="1321"/>
      <c r="BN27" s="1321"/>
      <c r="BO27" s="1321"/>
      <c r="BP27" s="1321"/>
      <c r="BQ27" s="1321"/>
      <c r="BR27" s="1321"/>
      <c r="BS27" s="1321"/>
      <c r="BT27" s="1321"/>
      <c r="BU27" s="1321"/>
      <c r="BV27" s="1321"/>
      <c r="BW27" s="1321"/>
      <c r="BX27" s="1321"/>
      <c r="BY27" s="1321"/>
      <c r="BZ27" s="1321"/>
      <c r="CA27" s="1321"/>
      <c r="CB27" s="1321"/>
      <c r="CC27" s="1321"/>
      <c r="CD27" s="1321"/>
      <c r="CE27" s="1321"/>
      <c r="CF27" s="1321"/>
      <c r="CG27" s="1321"/>
      <c r="CH27" s="1321"/>
      <c r="CI27" s="1321"/>
      <c r="CJ27" s="1321"/>
      <c r="CK27" s="1321"/>
    </row>
    <row r="28" spans="1:89" s="580" customFormat="1" ht="30.6" customHeight="1" x14ac:dyDescent="0.25">
      <c r="A28" s="1185">
        <f>IF(OR(BE28=0,BE28=1),0,COUNTIF(BE$26:BE28,BE28))</f>
        <v>1</v>
      </c>
      <c r="B28" s="1144" t="str">
        <f>+_xlfn.CONCAT($B$27,".",SUBTOTAL(103,$AO$28:AO28))</f>
        <v>4.2.1</v>
      </c>
      <c r="C28" s="1822" t="str">
        <f>+'H2-CONDUCTORES DE BT'!D18</f>
        <v>TBT08</v>
      </c>
      <c r="D28" s="1822"/>
      <c r="E28" s="1822"/>
      <c r="F28" s="1788" t="str">
        <f>+VLOOKUP(C28,'H2-CONDUCTORES DE BT'!$D$2:$BL$155,2,FALSE)</f>
        <v>TABLERO BAJA TENSIÓN (EXISTENTE)</v>
      </c>
      <c r="G28" s="1788"/>
      <c r="H28" s="1788"/>
      <c r="I28" s="1788"/>
      <c r="J28" s="1788"/>
      <c r="K28" s="1789" t="str">
        <f>+VLOOKUP(C28,'H2-CONDUCTORES DE BT'!$D$2:$BL$155,20,FALSE)</f>
        <v>2x[3x(1x4/0 AWG)] + 2x(2Gx1/0 AWG)</v>
      </c>
      <c r="L28" s="1789"/>
      <c r="M28" s="1789"/>
      <c r="N28" s="1789"/>
      <c r="O28" s="1789"/>
      <c r="P28" s="1791" t="str">
        <f>+VLOOKUP(C28,'H2-CONDUCTORES DE BT'!$D$2:$BL$155,19,FALSE)</f>
        <v>ALUMINIO, XHHW-2, 600 V, 90°C, Monopolar</v>
      </c>
      <c r="Q28" s="1791"/>
      <c r="R28" s="1791"/>
      <c r="S28" s="1791"/>
      <c r="T28" s="1791"/>
      <c r="U28" s="1791"/>
      <c r="V28" s="1110">
        <f>+VLOOKUP(C28,'H2-CONDUCTORES DE BT'!$D$2:$BM$166,4,FALSE)</f>
        <v>13</v>
      </c>
      <c r="W28" s="1111">
        <f t="shared" ref="W28:W29" si="13">IF(AW28="AÉREO","--",IF(OR(AW28&lt;&gt;"BANDEJA",AT28="Si"),(IF((IF(MID(K28,1,1)="1",1,IF(MID(K28,1,1)="2",2,IF(MID(K28,1,1)="3",3,IF(MID(K28,1,1)="4",4,IF(MID(K28,1,1)="5",5,IF(MID(K28,1,1)="6",6,IF(MID(K28,1,1)="7",7,IF(MID(K28,1,1)="8",8,IF(MID(K28,1,1)="9",9,10))))))))))=AA28,X28,Y28/AA28)),"--"))</f>
        <v>854.30000000000007</v>
      </c>
      <c r="X28" s="1111">
        <f>IF(OR(AW28&lt;&gt;"BANDEJA",AT28="Si"),IF(VLOOKUP(C28,'H2-CONDUCTORES DE BT'!$D$2:$BM$166,46,FALSE)="Motor",LOOKUP(AZ28,CONDUCTORES!$A$9:$A$62,CONDUCTORES!$AA$9:$AA$62),IF((VLOOKUP(C28,'H2-CONDUCTORES DE BT'!$D$2:$BM$166,38,FALSE))="Monopolar",IF(AND(VLOOKUP(C28,'H2-CONDUCTORES DE BT'!$D$2:$BM$166,48,FALSE)="SI",VLOOKUP(C28,'H2-CONDUCTORES DE BT'!$D$2:$BM$450,53,FALSE)="No"), (((3)*(LOOKUP(AZ28,CONDUCTORES!$A$9:$A$62,CONDUCTORES!$F$9:$F$62)))+((IF((VLOOKUP(C28,'H2-CONDUCTORES DE BT'!$D$2:$BM$166,51,FALSE))&lt;&gt;"NO",VLOOKUP(C28,'H2-CONDUCTORES DE BT'!$D$2:$BM$166,50,FALSE),1))*(LOOKUP(BA28,CONDUCTORES!$A$9:$A$62,CONDUCTORES!$F$9:$F$62)))),IF(AND(VLOOKUP(C28,'H2-CONDUCTORES DE BT'!$D$2:$BM$166,48,FALSE)="SI",VLOOKUP(C28,'H2-CONDUCTORES DE BT'!$D$2:$BM$450,53,FALSE)&lt;&gt;"No"),  (((3)*(LOOKUP(AZ28,CONDUCTORES!$A$9:$A$62,CONDUCTORES!$F$9:$F$62)))+((IF((VLOOKUP(C28,'H2-CONDUCTORES DE BT'!$D$2:$BM$166,51,FALSE))&lt;&gt;"NO",VLOOKUP(C28,'H2-CONDUCTORES DE BT'!$D$2:$BM$166,50,FALSE),1))*(LOOKUP(BA28,CONDUCTORES!$A$9:$A$62,CONDUCTORES!$F$9:$F$62)))+((VLOOKUP(C28,'H2-CONDUCTORES DE BT'!$D$2:$BM$450,52,FALSE))*(LOOKUP(BI28,CONDUCTORES!$A$9:$A$62,CONDUCTORES!$F$9:$F$62)))),IF(AND(VLOOKUP(C28,'H2-CONDUCTORES DE BT'!$D$2:$BM$166,48,FALSE)="NO",VLOOKUP(C28,'H2-CONDUCTORES DE BT'!$D$2:$BM$450,53,FALSE)&lt;&gt;"No"),((3)*(LOOKUP(AZ28,CONDUCTORES!$A$9:$A$62,CONDUCTORES!$F$9:$F$62)))+((VLOOKUP(C28,'H2-CONDUCTORES DE BT'!$D$2:$BM$450,52,FALSE))*(LOOKUP(BI28,CONDUCTORES!$A$9:$A$62,CONDUCTORES!$F$9:$F$62))),((3)*(LOOKUP(AZ28,CONDUCTORES!$A$9:$A$62,CONDUCTORES!$F$9:$F$62)))))),(LOOKUP(AZ28,CONDUCTORES!$A$9:$A$62,CONDUCTORES!$F$9:$F$62)))),"--")</f>
        <v>854.30000000000007</v>
      </c>
      <c r="Y28" s="1111">
        <f t="shared" ref="Y28:Y29" si="14">IF(OR(AW28&lt;&gt;"BANDEJA",AT28="Si"),X28*(IF(MID(K28,1,1)="1",1,IF(MID(K28,1,1)="2",2,IF(MID(K28,1,1)="3",3,IF(MID(K28,1,1)="4",4,IF(MID(K28,1,1)="5",5,IF(MID(K28,1,1)="6",6,IF(MID(K28,1,1)="7",7,IF(MID(K28,1,1)="8",8,IF(MID(K28,1,1)="9",9,10)))))))))),"--")</f>
        <v>1708.6000000000001</v>
      </c>
      <c r="Z28" s="1112" t="str">
        <f>IF(OR(AW28&lt;&gt;"BANDEJA",AT28="Si"),IF(AB28="--","--",VLOOKUP(BD28,CONDUITS!$A$8:$C$19,3,FALSE)),"--")</f>
        <v>2"</v>
      </c>
      <c r="AA28" s="1113">
        <f t="shared" ref="AA28" si="15">IF(OR(AW28="BANCO DE DUCTOS",AW28="TUBO",AND(AW28="BANDEJA",AT28="SI")),AO28,"--")</f>
        <v>2</v>
      </c>
      <c r="AB28" s="1114" t="str">
        <f t="shared" ref="AB28:AB29" si="16">IF(OR(AW28="BANCO DE DUCTOS",AW28="TUBO",AND(AW28="BANDEJA",AT28="SI")),AP28,"--")</f>
        <v>PVC</v>
      </c>
      <c r="AC28" s="1115">
        <f>IF(MOD(MID(K28,1,1),IF(OR(AW28="BANDEJA",AW28="AÉREO"),1,AA28))=0,IF(OR(AW28&lt;&gt;"BANDEJA",AT28="Si"),IF(AB28="EMT",(W28/VLOOKUP(BD28,CONDUITS!$A$8:$W$19,7)*100),IF(AB28="IMC",(W28/VLOOKUP(BD28,CONDUITS!$A$8:$W$19,12)*100),IF(AB28="RMC",(W28/VLOOKUP(BD28,CONDUITS!$A$8:$W$19,17)*100),IF(OR(AB28="PVC",AB28="CONDUIT FLEXIBLE"),(W28/VLOOKUP(BD28,CONDUITS!$A$8:$W$19,22)*100),"--")))),"--"),"NO")</f>
        <v>33.52590914465064</v>
      </c>
      <c r="AD28" s="1116" t="str">
        <f t="shared" ref="AD28:AD29" si="17">IF(AC28="NO","CAMBIAR CANTIDAD DE TUBOS",IF(AW28="AÉREO","--",IF(AND(AW28="BANDEJA",AT28="NO"),"--",CONCATENATE(IF(AA28=1,"",CONCATENATE(AA28,"-")),IF((MID(C28,1,3))="ILU","CA-","CP-"),MID(Z28,1,1),"0-",C28))))</f>
        <v>2-CP-20-TBT08</v>
      </c>
      <c r="AE28" s="1113" t="str">
        <f>IF(OR(AW28="BANDEJA",AT28="SI"),IF((VLOOKUP(C28,'H2-CONDUCTORES DE BT'!$D$2:$BM$216,38,FALSE))="Monopolar",(IF(VLOOKUP(C28,'H2-CONDUCTORES DE BT'!$D$1:$BM$216,48,FALSE)="SI",(((VLOOKUP(C28,'H2-CONDUCTORES DE BT'!$D$2:$BM$216,37,FALSE))*(VLOOKUP(C28,'H2-CONDUCTORES DE BT'!$D$2:$BM$216,9,FALSE)))+(IF(AW28="BANDEJA",1*(IF(VLOOKUP(C28,'H2-CONDUCTORES DE BT'!$D$2:$BM$216,51,FALSE)="NO",1,VLOOKUP(C28,'H2-CONDUCTORES DE BT'!$D$2:$BM$216,50,FALSE))),((AO28)*(IF(VLOOKUP(C28,'H2-CONDUCTORES DE BT'!$D$2:$BM$216,51,FALSE)="NO",1,VLOOKUP(C28,'H2-CONDUCTORES DE BT'!$D$2:$BM$216,50,FALSE))))))+(IF(VLOOKUP(C28,'H2-CONDUCTORES DE BT'!$D$2:$BM$216,53,FALSE)="NO",0,VLOOKUP(C28,'H2-CONDUCTORES DE BT'!$D$2:$BM$216,37,FALSE))*(VLOOKUP(C28,'H2-CONDUCTORES DE BT'!$D$2:$BM$216,52,FALSE)))),   IF(VLOOKUP(C28,'H2-CONDUCTORES DE BT'!$D$1:$BM$216,48,FALSE)="NO",        (((VLOOKUP(C28,'H2-CONDUCTORES DE BT'!$D$2:$BM$216,37,FALSE))*(VLOOKUP(C28,'H2-CONDUCTORES DE BT'!$D$2:$BM$216,9,FALSE)))+(IF(VLOOKUP(C28,'H2-CONDUCTORES DE BT'!$D$2:$BM$216,53,FALSE)="NO",0,VLOOKUP(C28,'H2-CONDUCTORES DE BT'!$D$2:$BM$216,37,FALSE))*(VLOOKUP(C28,'H2-CONDUCTORES DE BT'!$D$2:$BM$216,52,FALSE)))), IF(AND(AW28="BANDEJA",VLOOKUP(C28,'H2-CONDUCTORES DE BT'!$D$1:$BM$216,48,FALSE)="NO"),VLOOKUP(C28,'H2-CONDUCTORES DE BT'!$D$2:$BM$216,24,FALSE),((VLOOKUP(C28,'H2-CONDUCTORES DE BT'!$D$2:$BM$216,37,FALSE))*(VLOOKUP(C28,'H2-CONDUCTORES DE BT'!$D$2:$BM$216,24,FALSE)))))    )),(MID(K28,1,1))+(IF(VLOOKUP(C28,'H2-CONDUCTORES DE BT'!$D$1:$BM$216,48,FALSE)="SI",VLOOKUP(C28,'H2-CONDUCTORES DE BT'!$D$2:$BM$216,50,FALSE),0))),"--")</f>
        <v>--</v>
      </c>
      <c r="AF28" s="1113" t="str">
        <f>IF($AI28="--","--",IF(AND($AZ28&gt;=11,$AZ28&lt;=14,$BA28&gt;=11,$BA28&lt;=14),'H2-CONDUCTORES DE BT'!$L18*'H2-CONDUCTORES DE BT'!$AN18*VLOOKUP($AZ28,CONDUCTORES!$A$9:$G$62,6,FALSE)+'H2-CONDUCTORES DE BT'!$BA18*VLOOKUP($BA28,CONDUCTORES!$A$9:$G$62,4,FALSE),
IF(AND($AZ28&gt;=11,$AZ28&lt;=14,$BA28&gt;=7,$BA28&lt;=10),'H2-CONDUCTORES DE BT'!$L18*'H2-CONDUCTORES DE BT'!$AN18*VLOOKUP($AZ28,CONDUCTORES!$A$9:$G$62,6,FALSE),"--")))</f>
        <v>--</v>
      </c>
      <c r="AG28" s="1117" t="str">
        <f>IF($AI28="--","--",IF(AND($AZ28&gt;=11,$AZ28&lt;=14,$BA28&gt;=7,$BA28&lt;=10),'H2-CONDUCTORES DE BT'!$BA18*VLOOKUP($BA28,CONDUCTORES!$A$9:$G$62,4,FALSE),
IF(AND($AZ28&gt;=7,$AZ28&lt;=10,$BA28&gt;=7,$BA28&lt;=10),'H2-CONDUCTORES DE BT'!$L18*'H2-CONDUCTORES DE BT'!$AN18*VLOOKUP($AZ28,CONDUCTORES!$A$9:$G$62,4,FALSE)+'H2-CONDUCTORES DE BT'!$BA18*VLOOKUP($BA28,CONDUCTORES!$A$9:$G$62,4,FALSE),
IF(AND($AZ28=15,$BA28&gt;=11,$BA28&lt;=14),'H2-CONDUCTORES DE BT'!$L18*'H2-CONDUCTORES DE BT'!$AN18*VLOOKUP($AZ28,CONDUCTORES!$A$9:$G$62,4,FALSE)+'H2-CONDUCTORES DE BT'!$BA18*VLOOKUP($BA28,CONDUCTORES!$A$9:$G$62,4,FALSE),
IF(AND($AZ28&gt;15,$BA28="  "),'H2-CONDUCTORES DE BT'!$L18*'H2-CONDUCTORES DE BT'!$AN18*VLOOKUP($AZ28,CONDUCTORES!$A$9:$G$62,4,FALSE),"--")))))</f>
        <v>--</v>
      </c>
      <c r="AH28" s="1117" t="str">
        <f t="shared" ref="AH28:AH36" si="18">IF(OR($AW28="BANDEJA",$AT28="SI"),SUMIF($AN$14:$AN$36,AN28,$AG$14:$AG$36),"--")</f>
        <v>--</v>
      </c>
      <c r="AI28" s="1117" t="str">
        <f>IF(AND(OR(AW28="BANCO DE DUCTOS",AW28="TUBO",AW28="AÉREO"),AT28="No"),"--",AQ28)</f>
        <v>--</v>
      </c>
      <c r="AJ28" s="1118" t="str">
        <f t="shared" ref="AJ28:AJ36" si="19">IF($AI28="--","--",IF($AF28="--",28*$AG28*100/(AI28*10*100),IF($AG28="--",($AF28)*100/(AI28*10*100),(28*$AG28+$AF28)*100/(AI28*10*100))))</f>
        <v>--</v>
      </c>
      <c r="AK28" s="1119" t="str">
        <f t="shared" ref="AK28:AK36" si="20">IF(OR(AW28="BANDEJA",AT28="SI"),IF($AI28="--","--",SUMIF($AN$28:$AN$60,$AN28,$AJ$28:$AJ$60)),"--")</f>
        <v>--</v>
      </c>
      <c r="AL28" s="1118" t="str">
        <f>IF(OR($AW28="BANDEJA",$AT28="SI"),IF($AI28="--","--",VLOOKUP(AI28,CONDUITS!$L$25:$Q$36,5,FALSE)*100/(AI28*10*100)),"--")</f>
        <v>--</v>
      </c>
      <c r="AM28" s="1191" t="str">
        <f>IF(OR(AW28="BANDEJA",AT28="SI"),"2/0 AWG","--")</f>
        <v>--</v>
      </c>
      <c r="AN28" s="1120" t="str">
        <f>IF(OR(AW28="BANDEJA",AT28="SI"),CONCATENATE("E-",AI28,"-10-B-0",AR28),"--")</f>
        <v>--</v>
      </c>
      <c r="AO28" s="901">
        <v>2</v>
      </c>
      <c r="AP28" s="943" t="s">
        <v>648</v>
      </c>
      <c r="AQ28" s="944" t="s">
        <v>624</v>
      </c>
      <c r="AR28" s="902">
        <v>1</v>
      </c>
      <c r="AS28" s="945" t="s">
        <v>1158</v>
      </c>
      <c r="AT28" s="906" t="s">
        <v>605</v>
      </c>
      <c r="AU28" s="946" t="s">
        <v>599</v>
      </c>
      <c r="AV28" s="906" t="s">
        <v>605</v>
      </c>
      <c r="AW28" s="946" t="str">
        <f>+VLOOKUP(C28,'H2-CONDUCTORES DE BT'!$D$2:$BL$155,23,FALSE)</f>
        <v>BANCO DE DUCTOS</v>
      </c>
      <c r="AX28" s="903" t="str">
        <f>+VLOOKUP(C28,'H2-CONDUCTORES DE BT'!$D$2:$BL$155,36,FALSE)</f>
        <v>4/0 AWG</v>
      </c>
      <c r="AY28" s="947" t="str">
        <f>+(IF((VLOOKUP(C28,'H2-CONDUCTORES DE BT'!$D$2:$BL$155,40,FALSE))="Al",IF((VLOOKUP(C28,'H2-CONDUCTORES DE BT'!$D$2:$BL$155,51,FALSE))="No",LOOKUP((VLOOKUP(C28,'H2-CONDUCTORES DE BT'!$D$2:$BL$155,16,FALSE)),CONDUCTORES!$A$111:$A$131,CONDUCTORES!$C$111:$C$131),(VLOOKUP(C28,'H2-CONDUCTORES DE BT'!$D$2:$BL$155,51,FALSE))),IF((VLOOKUP(C28,'H2-CONDUCTORES DE BT'!$D$2:$BL$155,51,FALSE))="No",LOOKUP((VLOOKUP(C28,'H2-CONDUCTORES DE BT'!$D$2:$BL$155,16,FALSE)),CONDUCTORES!$A$111:$A$131,CONDUCTORES!$B$111:$B$131),(VLOOKUP(C28,'H2-CONDUCTORES DE BT'!$D$2:$BL$155,51,FALSE)))))</f>
        <v>1/0 AWG</v>
      </c>
      <c r="AZ28" s="948">
        <f>VLOOKUP(C28,'H2-CONDUCTORES DE BT'!$D$2:$CL$155,COLUMN('H2-CONDUCTORES DE BT'!BS1),FALSE)</f>
        <v>10</v>
      </c>
      <c r="BA28" s="947">
        <f>IF((VLOOKUP(C28,'H2-CONDUCTORES DE BT'!$D$2:$CL$155,38,FALSE))="Monopolar",VLOOKUP(AY28,CONDUCTORES!$B$9:$X$23,23,FALSE),IF(VLOOKUP(C28,'H2-CONDUCTORES DE BT'!$D$2:$CL$420,48,FALSE)="SI",VLOOKUP(AY28,CONDUCTORES!$B$9:$X$23,23,FALSE),"  "))</f>
        <v>7</v>
      </c>
      <c r="BB28" s="949" t="str">
        <f>IF(OR(AW28="BANDEJA",AT28="Si"),IF(AI28="--","  ",IF(OR(AZ28&lt;=10,BA28&lt;=10),(AG28*100)/(AI28*10),(AF28/(VLOOKUP(AI28,CONDUITS!$A$25:$B$37,2,FALSE)))*100)),"  ")</f>
        <v xml:space="preserve">  </v>
      </c>
      <c r="BC28" s="949" t="str">
        <f>IF(OR(AW28="BANDEJA",AT28="Si"),IF(AI28="--","  ",((AF28)/(VLOOKUP(AI28,CONDUITS!$A$25:$C$37,3,FALSE)))*100),"  ")</f>
        <v xml:space="preserve">  </v>
      </c>
      <c r="BD28" s="950">
        <f>(IF(OR(BA28&lt;&gt;"BANDEJA",AX28="Si"),IF(AB28="EMT",IF(AND(VLOOKUP(C28,'H2-CONDUCTORES DE BT'!$D$2:$CH$321,38,FALSE)="Multiconductor"),(IF(W28&lt;CONDUITS!$X$8,CONDUITS!$A$8,IF(W28&lt;CONDUITS!$X$9,CONDUITS!$A$9,IF(W28&lt;CONDUITS!$X$10,CONDUITS!$A$10,IF(W28&lt;CONDUITS!$X$11,CONDUITS!$A$11,IF(W28&lt;CONDUITS!$X$12,CONDUITS!$A$12,IF(W28&lt;CONDUITS!$X$13,CONDUITS!$A$13,IF(W28&lt;CONDUITS!$X$14,CONDUITS!$A$14,IF(W28&lt;CONDUITS!$X$15,CONDUITS!$A$15,IF(W28&lt;CONDUITS!$X$16,CONDUITS!$A$16,IF(W28&lt;CONDUITS!$X$17,CONDUITS!$A$17,IF(W28&lt;CONDUITS!$X$18,CONDUITS!$A$18,IF(W28&lt;CONDUITS!$X$19,CONDUITS!$A$19,CONDUITS!$A$17))))))))))))),(IF(W28&lt;CONDUITS!$F$8,CONDUITS!$A$8,IF(W28&lt;CONDUITS!$F$9,CONDUITS!$A$9,IF(W28&lt;CONDUITS!$F$10,CONDUITS!$A$10,IF(W28&lt;CONDUITS!$F$11,CONDUITS!$A$11,IF(W28&lt;CONDUITS!$F$12,CONDUITS!$A$12,IF(W28&lt;CONDUITS!$F$13,CONDUITS!$A$13,IF(W28&lt;CONDUITS!$F$14,CONDUITS!$A$14,IF(W28&lt;CONDUITS!$F$15,CONDUITS!$A$15,IF(W28&lt;CONDUITS!$F$16,CONDUITS!$A$16,IF(W28&lt;CONDUITS!$F$17,CONDUITS!$A$17,IF(W28&lt;CONDUITS!$F$18,CONDUITS!$A$18,IF(W28&lt;CONDUITS!$F$19,CONDUITS!$A$19,CONDUITS!$A$17)))))))))))))),           IF(AB28="IMC",IF(AND(VLOOKUP(C28,'H2-CONDUCTORES DE BT'!$D$2:$CH$321,38,FALSE)="Multiconductor"),(IF(W28&lt;CONDUITS!$Y$8,CONDUITS!$A$8,IF(W28&lt;CONDUITS!$Y$9,CONDUITS!$A$9,IF(W28&lt;CONDUITS!$Y$10,CONDUITS!$A$10,IF(W28&lt;CONDUITS!$Y$11,CONDUITS!$A$11,IF(W28&lt;CONDUITS!$Y$12,CONDUITS!$A$12,IF(W28&lt;CONDUITS!$Y$13,CONDUITS!$A$13,IF(W28&lt;CONDUITS!$Y$14,CONDUITS!$A$14,IF(W28&lt;CONDUITS!$Y$15,CONDUITS!$A$15,IF(W28&lt;CONDUITS!$Y$16,CONDUITS!$A$16,IF(W28&lt;CONDUITS!$Y$17,CONDUITS!$A$17,IF(W28&lt;CONDUITS!$Y$18,CONDUITS!$A$18,IF(W28&lt;CONDUITS!$Y$19,CONDUITS!$A$19,CONDUITS!$A$17))))))))))))),(IF(W28&lt;CONDUITS!$K$8,CONDUITS!$A$8,IF(W28&lt;CONDUITS!$K$9,CONDUITS!$A$9,IF(W28&lt;CONDUITS!$K$10,CONDUITS!$A$10,IF(W28&lt;CONDUITS!$K$11,CONDUITS!$A$11,IF(W28&lt;CONDUITS!$K$12,CONDUITS!$A$12,IF(W28&lt;CONDUITS!$K$13,CONDUITS!$A$13,IF(W28&lt;CONDUITS!$K$14,CONDUITS!$A$14,IF(W28&lt;CONDUITS!$K$15,CONDUITS!$A$15,IF(W28&lt;CONDUITS!$K$16,CONDUITS!$A$16,IF(W28&lt;CONDUITS!$K$17,CONDUITS!$A$17,IF(W28&lt;CONDUITS!$K$18,CONDUITS!$A$18,IF(W28&lt;CONDUITS!$K$19,CONDUITS!$A$19,CONDUITS!$A$17)))))))))))))),           IF(AB28="RMC",IF(AND(VLOOKUP(C28,'H2-CONDUCTORES DE BT'!$D$2:$CH$321,38,FALSE)="Multiconductor"),(IF(W28&lt;CONDUITS!$Z$8,CONDUITS!$A$8,IF(W28&lt;CONDUITS!$Z$9,CONDUITS!$A$9,IF(W28&lt;CONDUITS!$Z$10,CONDUITS!$A$10,IF(W28&lt;CONDUITS!$Z$11,CONDUITS!$A$11,IF(W28&lt;CONDUITS!$Z$12,CONDUITS!$A$12,IF(W28&lt;CONDUITS!$Z$13,CONDUITS!$A$13,IF(W28&lt;CONDUITS!$Z$14,CONDUITS!$A$14,IF(W28&lt;CONDUITS!$Z$15,CONDUITS!$A$15,IF(W28&lt;CONDUITS!$Z$16,CONDUITS!$A$16,IF(W28&lt;CONDUITS!$Z$17,CONDUITS!$A$17,IF(W28&lt;CONDUITS!$Z$18,CONDUITS!$A$18,IF(W28&lt;CONDUITS!$Z$19,CONDUITS!$A$19,CONDUITS!$A$17))))))))))))),(IF(W28&lt;CONDUITS!$P$8,CONDUITS!$A$8,IF(W28&lt;CONDUITS!$P$9,CONDUITS!$A$9,IF(W28&lt;CONDUITS!$P$10,CONDUITS!$A$10,IF(W28&lt;CONDUITS!$P$11,CONDUITS!$A$11,IF(W28&lt;CONDUITS!$P$12,CONDUITS!$A$12,IF(W28&lt;CONDUITS!$P$13,CONDUITS!$A$13,IF(W28&lt;CONDUITS!$P$14,CONDUITS!$A$14,IF(W28&lt;CONDUITS!$P$15,CONDUITS!$A$15,IF(W28&lt;CONDUITS!$P$16,CONDUITS!$A$16,IF(W28&lt;CONDUITS!$P$17,CONDUITS!$A$17,IF(W28&lt;CONDUITS!$P$18,CONDUITS!$A$18,IF(W28&lt;CONDUITS!$P$19,CONDUITS!$A$19,CONDUITS!$A$18)))))))))))))),IF(OR(AB28="PVC",AB28="CONDUIT FLEXIBLE"),IF(AND(VLOOKUP(C28,'H2-CONDUCTORES DE BT'!$D$2:$CH$321,38,FALSE)="Multiconductor"),(IF(W28&lt;CONDUITS!$AA$8,CONDUITS!$A$8,IF(W28&lt;CONDUITS!$AA$9,CONDUITS!$A$9,IF(W28&lt;CONDUITS!$AA$10,CONDUITS!$A$10,IF(W28&lt;CONDUITS!$AA$11,CONDUITS!$A$11,IF(W28&lt;CONDUITS!$AA$12,CONDUITS!$A$12,IF(W28&lt;CONDUITS!$AA$13,CONDUITS!$A$13,IF(W28&lt;CONDUITS!$AA$14,CONDUITS!$A$14,IF(W28&lt;CONDUITS!$AA$15,CONDUITS!$A$15,IF(W28&lt;CONDUITS!$AA$16,CONDUITS!$A$16,IF(W28&lt;CONDUITS!$AA$17,CONDUITS!$A$17,IF(W28&lt;CONDUITS!$AA$18,CONDUITS!$A$18,IF(W28&lt;CONDUITS!$AA$19,CONDUITS!$A$19,CONDUITS!$A$17))))))))))))),(IF(W28&lt;CONDUITS!$U$8,CONDUITS!$A$8,IF(W28&lt;CONDUITS!$U$9,CONDUITS!$A$9,IF(W28&lt;CONDUITS!$U$10,CONDUITS!$A$10,IF(W28&lt;CONDUITS!$U$11,CONDUITS!$A$11,IF(W28&lt;CONDUITS!$U$12,CONDUITS!$A$12,IF(W28&lt;CONDUITS!$U$13,CONDUITS!$A$13,IF(W28&lt;CONDUITS!$U$14,CONDUITS!$A$14,IF(W28&lt;CONDUITS!$U$15,CONDUITS!$A$15,IF(W28&lt;CONDUITS!$U$16,CONDUITS!$A$16,IF(W28&lt;CONDUITS!$U$17,CONDUITS!$A$17,IF(W28&lt;CONDUITS!$U$18,CONDUITS!$A$18,IF(W28&lt;CONDUITS!$U$19,CONDUITS!$A$19,CONDUITS!$A$18)))))))))))))),"NO")))),"  "))</f>
        <v>6</v>
      </c>
      <c r="BE28" s="937">
        <f t="shared" si="0"/>
        <v>2</v>
      </c>
      <c r="BF28" s="953" t="str">
        <f>IF(OR(AW28="BANDEJA",AT28="SI"),IF((VLOOKUP(C28,'H2-CONDUCTORES DE BT'!$D$2:$AW$216,38,FALSE))="Monopolar",(IF(VLOOKUP(C28,'H2-CONDUCTORES DE BT'!$D$1:$AY$216,48,FALSE)="SI",((((VLOOKUP(C28,'H2-CONDUCTORES DE BT'!$D$2:$BM$453,37,FALSE))*(VLOOKUP(C28,'H2-CONDUCTORES DE BT'!$D$2:$BM$473,24,FALSE))  )*(LOOKUP(AZ28,CONDUCTORES!$A$9:$A$62,CONDUCTORES!$D$9:$D$62)))+(IF(AW28="BANDEJA",0,VLOOKUP(C28,'H2-CONDUCTORES DE BT'!$D$2:$BM$473,37,FALSE))*(LOOKUP(BA28,CONDUCTORES!$A$9:$A$62,CONDUCTORES!$D$9:$D$62)))+(IF(VLOOKUP(C28,'H2-CONDUCTORES DE BT'!$D$2:$BM$473,53,FALSE)="NO",0,((VLOOKUP(C28,'H2-CONDUCTORES DE BT'!$D$2:$BM$473,37,FALSE))*(LOOKUP(BI28,CONDUCTORES!$A$9:$A$62,CONDUCTORES!$D$9:$D$62)))))),(   IF(AND(AW28="BANDEJA",VLOOKUP(C28,'H2-CONDUCTORES DE BT'!$D$1:$AY$216,47,FALSE)="NO"),VLOOKUP(C28,'H2-CONDUCTORES DE BT'!$D$2:$BM$473,24,FALSE), ((VLOOKUP(C28,'H2-CONDUCTORES DE BT'!$D$2:$BM$473,37,FALSE))*(VLOOKUP(C28,'H2-CONDUCTORES DE BT'!$D$2:$BM$473,24,FALSE))   ))  *(LOOKUP(AZ28,CONDUCTORES!$A$9:$A$62,CONDUCTORES!$D$9:$D$62))))),    (VLOOKUP(C28,'H2-CONDUCTORES DE BT'!$D$2:$BM$473,37,FALSE))*(LOOKUP(AZ28,CONDUCTORES!$A$9:$A$62,CONDUCTORES!$D$9:$D$62))+(IF(VLOOKUP(C28,'H2-CONDUCTORES DE BT'!$D$1:$AY$216,48,FALSE)="SI",((VLOOKUP(C28,'H2-CONDUCTORES DE BT'!$D$2:$BM$473,37,FALSE))*(LOOKUP(BA28,CONDUCTORES!$A$9:$A$62,CONDUCTORES!$D$9:$D$62))),))),"--")</f>
        <v>--</v>
      </c>
      <c r="BG28" s="951"/>
      <c r="BH28" s="952" t="str">
        <f>IF(VLOOKUP(C28,'H2-CONDUCTORES DE BT'!$D$2:$BL$420,53,FALSE)="NO","  ",VLOOKUP(C28,'H2-CONDUCTORES DE BT'!$D$2:$BL$420,53,FALSE))</f>
        <v xml:space="preserve">  </v>
      </c>
      <c r="BI28" s="1318" t="str">
        <f>+IF(BH28="  ","  ",VLOOKUP(BH28,CONDUCTORES!$B$9:$X$23,23,FALSE))</f>
        <v xml:space="preserve">  </v>
      </c>
      <c r="BJ28" s="464" t="str">
        <f>IF(VLOOKUP(C28,'H2-CONDUCTORES DE BT'!$D$2:$CH$321,38,FALSE)="Multiconductor","MULTI","MONO")</f>
        <v>MONO</v>
      </c>
      <c r="BK28" s="1322"/>
      <c r="BL28" s="1322">
        <v>10</v>
      </c>
      <c r="BM28" s="1322">
        <f>+(LOOKUP(AZ28,CONDUCTORES!$A$9:$A$62,CONDUCTORES!$D$9:$D$62))</f>
        <v>16.21</v>
      </c>
      <c r="BN28" s="1322">
        <f>+BL28*BM28</f>
        <v>162.10000000000002</v>
      </c>
      <c r="BO28" s="1322"/>
      <c r="BP28" s="1322">
        <f>+((((5)*(   IF(AS28="Horizontal","ss",IF(OR(VLOOKUP(C28,'H2-CONDUCTORES DE BT'!$D$2:$BM$473,24,FALSE)=3,VLOOKUP(C28,'H2-CONDUCTORES DE BT'!$D$2:$BM$473,24,FALSE)=6,VLOOKUP(C28,'H2-CONDUCTORES DE BT'!$D$2:$BM$473,24,FALSE)=9,VLOOKUP(C28,'H2-CONDUCTORES DE BT'!$D$2:$BM$473,24,FALSE)=12,VLOOKUP(C28,'H2-CONDUCTORES DE BT'!$D$2:$BM$473,24,FALSE)=15,VLOOKUP(C28,'H2-CONDUCTORES DE BT'!$D$2:$BM$473,24,FALSE)=18),((VLOOKUP(C28,'H2-CONDUCTORES DE BT'!$D$2:$BM$473,24,FALSE))-((15)/3)),"2") )   )  )*(29.41))+(0))</f>
        <v>-294.10000000000002</v>
      </c>
      <c r="BQ28" s="1322"/>
      <c r="BR28" s="1329" t="str">
        <f>IF(AI28="--","  ",IF(AZ28&lt;=10,('H2-CONDUCTORES DE BT'!$AA18*VLOOKUP(AZ28,CONDUCTORES!$A$9:$G$62,4,FALSE)*100)/(AI28*10),('H2-CONDUCTORES DE BT'!AA18*VLOOKUP(AZ28,CONDUCTORES!$A$9:$G$62,6,FALSE)*100)/VLOOKUP(AI28,CONDUITS!$L$25:$Q$36,4,FALSE)))</f>
        <v xml:space="preserve">  </v>
      </c>
      <c r="BS28" s="1329" t="str">
        <f>IF(AI28="--","  ",IF(OR(AZ28&lt;=10,BA28&lt;=10),(VLOOKUP(AI28,CONDUITS!$L$25:$Q$36,5,FALSE)-(28*'H2-CONDUCTORES DE BT'!$BA18*VLOOKUP(BA28,CONDUCTORES!$A$9:$G$62,4,FALSE)))*100/(AI28*10*100),VLOOKUP(AI28,CONDUITS!$L$25:$Q$36,5,FALSE)*100/(AI28*10*100)))</f>
        <v xml:space="preserve">  </v>
      </c>
      <c r="BT28" s="1322"/>
      <c r="BU28" s="1329" t="str">
        <f>IF(AI28="--","  ",IF(AND(AZ28&lt;=10,BA28&lt;=10),(('H2-CONDUCTORES DE BT'!$AA18*VLOOKUP(AZ28,CONDUCTORES!$A$9:$G$62,4,FALSE)+'H2-CONDUCTORES DE BT'!$BA18*VLOOKUP(BA28,CONDUCTORES!$A$9:$G$62,4,FALSE))*100)/(AI28*10),('H2-CONDUCTORES DE BT'!AA18*VLOOKUP(AZ28,CONDUCTORES!$A$9:$G$62,6,FALSE)*100)/VLOOKUP(AI28,CONDUITS!$L$25:$Q$36,4,FALSE)))</f>
        <v xml:space="preserve">  </v>
      </c>
      <c r="BV28" s="1322" t="str">
        <f>IF($AI28="--","  ",IF(AND($AZ28&lt;=10,$BA28&lt;=10),'H2-CONDUCTORES DE BT'!$AA18*VLOOKUP($AZ28,CONDUCTORES!$A$9:$G$62,4,FALSE),""))</f>
        <v xml:space="preserve">  </v>
      </c>
      <c r="BW28" s="1322" t="str">
        <f>+IF($AI28="--","  ",IF(AND($AZ28&lt;=10,$BA28&lt;=10),'H2-CONDUCTORES DE BT'!$BA18*VLOOKUP($BA28,CONDUCTORES!$A$9:$G$62,4,FALSE),""))</f>
        <v xml:space="preserve">  </v>
      </c>
      <c r="BX28" s="1322" t="str">
        <f>IF($AI28="--","  ",IF(AND($AZ28&lt;=10,$BA28&lt;=10),($AI28*10),""))</f>
        <v xml:space="preserve">  </v>
      </c>
      <c r="BY28" s="1322" t="str">
        <f>IF($AI28="--","  ",IF(AND($AZ28&lt;=10,$BA28&lt;=10),($BV28+$BW28)*100/$BX28,""))</f>
        <v xml:space="preserve">  </v>
      </c>
      <c r="BZ28" s="1322" t="str">
        <f>IF($AI28="--","  ",IF(AND($AZ28&gt;10,$BA28&lt;=10),'H2-CONDUCTORES DE BT'!$AA18*VLOOKUP($AZ28,CONDUCTORES!$A$9:$G$62,6,FALSE),""))</f>
        <v xml:space="preserve">  </v>
      </c>
      <c r="CA28" s="1322" t="str">
        <f>IF($AI28="--","  ",IF(AND($AZ28&gt;10,$BA28&lt;=10),'H2-CONDUCTORES DE BT'!$BA18*VLOOKUP($BA28,CONDUCTORES!$A$9:$G$62,4,FALSE),""))</f>
        <v xml:space="preserve">  </v>
      </c>
      <c r="CB28" s="1322" t="str">
        <f>IF($AI28="--","  ",IF(AND($AZ28&gt;10,$BA28&lt;=10),($AI28*10*100),""))</f>
        <v xml:space="preserve">  </v>
      </c>
      <c r="CC28" s="1322" t="str">
        <f>IF($AI28="--","  ",IF(AND($AZ28&gt;10,$BA28&lt;=10),VLOOKUP($AI28,CONDUITS!$L$25:$Q$36,5,FALSE)-(28*'H2-CONDUCTORES DE BT'!$BA18*VLOOKUP($BA28,CONDUCTORES!$A$9:$G$62,4,FALSE)),""))</f>
        <v xml:space="preserve">  </v>
      </c>
      <c r="CD28" s="1329" t="str">
        <f>IF($AI28="--","  ",IF(AND($AZ28&gt;10,$BA28&lt;=10),$CC28*100/$CB28,""))</f>
        <v xml:space="preserve">  </v>
      </c>
      <c r="CE28" s="1329" t="str">
        <f>IF($AI28="--","  ",IF(AND($AZ28&gt;10,$BA28&lt;=10),$BZ28*100/$CB28,""))</f>
        <v xml:space="preserve">  </v>
      </c>
      <c r="CF28" s="1322" t="str">
        <f>IF($AI28="--","  ",IF(AND($AZ28&gt;10,$BA28&gt;10),'H2-CONDUCTORES DE BT'!$AA18*VLOOKUP($AZ28,CONDUCTORES!$A$9:$G$62,6,FALSE),""))</f>
        <v xml:space="preserve">  </v>
      </c>
      <c r="CG28" s="1322">
        <f>IF(OR($AI28="--",$BA28="  "),0,IF(AND($AZ28&gt;10,$BA28&gt;10),'H2-CONDUCTORES DE BT'!$BA18*VLOOKUP($BA28,CONDUCTORES!$A$9:$G$62,4,FALSE),""))</f>
        <v>0</v>
      </c>
      <c r="CH28" s="1322" t="str">
        <f>IF($AI28="--","  ",IF(AND($AZ28&gt;10,$BA28&gt;10),($AI28*10*100),""))</f>
        <v xml:space="preserve">  </v>
      </c>
      <c r="CI28" s="1322" t="str">
        <f>IF($AI28="--","  ",IF(AND($AZ28&gt;10,$BA28&gt;10),VLOOKUP($AI28,CONDUITS!$L$25:$Q$36,5,FALSE),""))</f>
        <v xml:space="preserve">  </v>
      </c>
      <c r="CJ28" s="1329" t="str">
        <f>IF($AI28="--","  ",IF(AND($AZ28&gt;10,$BA28&gt;10),$CI28*100/$CH28,""))</f>
        <v xml:space="preserve">  </v>
      </c>
      <c r="CK28" s="1329" t="str">
        <f>IF($AI28="--","  ",IF(AND($AZ28&gt;10,$BA28&gt;10),($CF28+$CG28)*100/CH28,""))</f>
        <v xml:space="preserve">  </v>
      </c>
    </row>
    <row r="29" spans="1:89" s="580" customFormat="1" ht="30.6" customHeight="1" x14ac:dyDescent="0.25">
      <c r="A29" s="1185">
        <f>IF(OR(BE29=0,BE29=1),0,COUNTIF(BE$26:BE29,BE29))</f>
        <v>2</v>
      </c>
      <c r="B29" s="1144" t="str">
        <f>+_xlfn.CONCAT($B$27,".",SUBTOTAL(103,$AO$28:AO29))</f>
        <v>4.2.2</v>
      </c>
      <c r="C29" s="1822" t="str">
        <f>+'H2-CONDUCTORES DE BT'!D19</f>
        <v>LPB E0701-BT</v>
      </c>
      <c r="D29" s="1822"/>
      <c r="E29" s="1822"/>
      <c r="F29" s="1839" t="str">
        <f>+VLOOKUP(C29,'H2-CONDUCTORES DE BT'!$D$2:$BL$155,2,FALSE)</f>
        <v>ESTRUCTURA BAJA TENSIÓN (EXISTENTE)</v>
      </c>
      <c r="G29" s="1839"/>
      <c r="H29" s="1839"/>
      <c r="I29" s="1839"/>
      <c r="J29" s="1839"/>
      <c r="K29" s="1789" t="str">
        <f>+VLOOKUP(C29,'H2-CONDUCTORES DE BT'!$D$2:$BL$155,20,FALSE)</f>
        <v>2x[3x(1x2/0 AWG)] + 1x(2Gx4 AWG)</v>
      </c>
      <c r="L29" s="1789"/>
      <c r="M29" s="1789"/>
      <c r="N29" s="1789"/>
      <c r="O29" s="1789"/>
      <c r="P29" s="1840" t="str">
        <f>+VLOOKUP(C29,'H2-CONDUCTORES DE BT'!$D$2:$BL$155,19,FALSE)</f>
        <v>ALUMINIO, XHHW-2, 600 V, 90°C, Monopolar</v>
      </c>
      <c r="Q29" s="1840"/>
      <c r="R29" s="1840"/>
      <c r="S29" s="1840"/>
      <c r="T29" s="1840"/>
      <c r="U29" s="1840"/>
      <c r="V29" s="1132">
        <f>+VLOOKUP(C29,'H2-CONDUCTORES DE BT'!$D$2:$BM$166,4,FALSE)</f>
        <v>15</v>
      </c>
      <c r="W29" s="1133">
        <f t="shared" si="13"/>
        <v>1057.8800000000001</v>
      </c>
      <c r="X29" s="1133">
        <f>IF(OR(AW29&lt;&gt;"BANDEJA",AT29="Si"),IF(VLOOKUP(C29,'H2-CONDUCTORES DE BT'!$D$2:$BM$166,46,FALSE)="Motor",LOOKUP(AZ29,CONDUCTORES!$A$9:$A$62,CONDUCTORES!$AA$9:$AA$62),IF((VLOOKUP(C29,'H2-CONDUCTORES DE BT'!$D$2:$BM$166,38,FALSE))="Monopolar",IF(AND(VLOOKUP(C29,'H2-CONDUCTORES DE BT'!$D$2:$BM$166,48,FALSE)="SI",VLOOKUP(C29,'H2-CONDUCTORES DE BT'!$D$2:$BM$450,53,FALSE)="No"), (((3)*(LOOKUP(AZ29,CONDUCTORES!$A$9:$A$62,CONDUCTORES!$F$9:$F$62)))+((IF((VLOOKUP(C29,'H2-CONDUCTORES DE BT'!$D$2:$BM$166,51,FALSE))&lt;&gt;"NO",VLOOKUP(C29,'H2-CONDUCTORES DE BT'!$D$2:$BM$166,50,FALSE),1))*(LOOKUP(BA29,CONDUCTORES!$A$9:$A$62,CONDUCTORES!$F$9:$F$62)))),IF(AND(VLOOKUP(C29,'H2-CONDUCTORES DE BT'!$D$2:$BM$166,48,FALSE)="SI",VLOOKUP(C29,'H2-CONDUCTORES DE BT'!$D$2:$BM$450,53,FALSE)&lt;&gt;"No"),  (((3)*(LOOKUP(AZ29,CONDUCTORES!$A$9:$A$62,CONDUCTORES!$F$9:$F$62)))+((IF((VLOOKUP(C29,'H2-CONDUCTORES DE BT'!$D$2:$BM$166,51,FALSE))&lt;&gt;"NO",VLOOKUP(C29,'H2-CONDUCTORES DE BT'!$D$2:$BM$166,50,FALSE),1))*(LOOKUP(BA29,CONDUCTORES!$A$9:$A$62,CONDUCTORES!$F$9:$F$62)))+((VLOOKUP(C29,'H2-CONDUCTORES DE BT'!$D$2:$BM$450,52,FALSE))*(LOOKUP(BI29,CONDUCTORES!$A$9:$A$62,CONDUCTORES!$F$9:$F$62)))),IF(AND(VLOOKUP(C29,'H2-CONDUCTORES DE BT'!$D$2:$BM$166,48,FALSE)="NO",VLOOKUP(C29,'H2-CONDUCTORES DE BT'!$D$2:$BM$450,53,FALSE)&lt;&gt;"No"),((3)*(LOOKUP(AZ29,CONDUCTORES!$A$9:$A$62,CONDUCTORES!$F$9:$F$62)))+((VLOOKUP(C29,'H2-CONDUCTORES DE BT'!$D$2:$BM$450,52,FALSE))*(LOOKUP(BI29,CONDUCTORES!$A$9:$A$62,CONDUCTORES!$F$9:$F$62))),((3)*(LOOKUP(AZ29,CONDUCTORES!$A$9:$A$62,CONDUCTORES!$F$9:$F$62)))))),(LOOKUP(AZ29,CONDUCTORES!$A$9:$A$62,CONDUCTORES!$F$9:$F$62)))),"--")</f>
        <v>528.94000000000005</v>
      </c>
      <c r="Y29" s="1133">
        <f t="shared" si="14"/>
        <v>1057.8800000000001</v>
      </c>
      <c r="Z29" s="1112" t="str">
        <f>IF(OR(AW29&lt;&gt;"BANDEJA",AT29="Si"),IF(AB29="--","--",VLOOKUP(BD29,CONDUITS!$A$8:$C$19,3,FALSE)),"--")</f>
        <v>3"</v>
      </c>
      <c r="AA29" s="1135">
        <f>IF(OR(AW29="BANCO DE DUCTOS",AW29="TUBO",AND(AW29="BANDEJA",AT29="SI")),AO29,"--")</f>
        <v>1</v>
      </c>
      <c r="AB29" s="1136" t="str">
        <f t="shared" si="16"/>
        <v>PVC</v>
      </c>
      <c r="AC29" s="1115">
        <f>IF(MOD(MID(K29,1,1),IF(OR(AW29="BANDEJA",AW29="AÉREO"),1,AA29))=0,IF(OR(AW29&lt;&gt;"BANDEJA",AT29="Si"),IF(AB29="EMT",(W29/VLOOKUP(BD29,CONDUITS!$A$8:$W$19,7)*100),IF(AB29="IMC",(W29/VLOOKUP(BD29,CONDUITS!$A$8:$W$19,12)*100),IF(AB29="RMC",(W29/VLOOKUP(BD29,CONDUITS!$A$8:$W$19,17)*100),IF(OR(AB29="PVC",AB29="CONDUIT FLEXIBLE"),(W29/VLOOKUP(BD29,CONDUITS!$A$8:$W$19,22)*100),"--")))),"--"),"NO")</f>
        <v>19.19876036390577</v>
      </c>
      <c r="AD29" s="1138" t="str">
        <f t="shared" si="17"/>
        <v>CP-30-LPB E0701-BT</v>
      </c>
      <c r="AE29" s="1135" t="str">
        <f>IF(OR(AW29="BANDEJA",AT29="SI"),IF((VLOOKUP(C29,'H2-CONDUCTORES DE BT'!$D$2:$BM$216,38,FALSE))="Monopolar",(IF(VLOOKUP(C29,'H2-CONDUCTORES DE BT'!$D$1:$BM$216,48,FALSE)="SI",(((VLOOKUP(C29,'H2-CONDUCTORES DE BT'!$D$2:$BM$216,37,FALSE))*(VLOOKUP(C29,'H2-CONDUCTORES DE BT'!$D$2:$BM$216,9,FALSE)))+(IF(AW29="BANDEJA",1*(IF(VLOOKUP(C29,'H2-CONDUCTORES DE BT'!$D$2:$BM$216,51,FALSE)="NO",1,VLOOKUP(C29,'H2-CONDUCTORES DE BT'!$D$2:$BM$216,50,FALSE))),((AO29)*(IF(VLOOKUP(C29,'H2-CONDUCTORES DE BT'!$D$2:$BM$216,51,FALSE)="NO",1,VLOOKUP(C29,'H2-CONDUCTORES DE BT'!$D$2:$BM$216,50,FALSE))))))+(IF(VLOOKUP(C29,'H2-CONDUCTORES DE BT'!$D$2:$BM$216,53,FALSE)="NO",0,VLOOKUP(C29,'H2-CONDUCTORES DE BT'!$D$2:$BM$216,37,FALSE))*(VLOOKUP(C29,'H2-CONDUCTORES DE BT'!$D$2:$BM$216,52,FALSE)))),   IF(VLOOKUP(C29,'H2-CONDUCTORES DE BT'!$D$1:$BM$216,48,FALSE)="NO",        (((VLOOKUP(C29,'H2-CONDUCTORES DE BT'!$D$2:$BM$216,37,FALSE))*(VLOOKUP(C29,'H2-CONDUCTORES DE BT'!$D$2:$BM$216,9,FALSE)))+(IF(VLOOKUP(C29,'H2-CONDUCTORES DE BT'!$D$2:$BM$216,53,FALSE)="NO",0,VLOOKUP(C29,'H2-CONDUCTORES DE BT'!$D$2:$BM$216,37,FALSE))*(VLOOKUP(C29,'H2-CONDUCTORES DE BT'!$D$2:$BM$216,52,FALSE)))), IF(AND(AW29="BANDEJA",VLOOKUP(C29,'H2-CONDUCTORES DE BT'!$D$1:$BM$216,48,FALSE)="NO"),VLOOKUP(C29,'H2-CONDUCTORES DE BT'!$D$2:$BM$216,24,FALSE),((VLOOKUP(C29,'H2-CONDUCTORES DE BT'!$D$2:$BM$216,37,FALSE))*(VLOOKUP(C29,'H2-CONDUCTORES DE BT'!$D$2:$BM$216,24,FALSE)))))    )),(MID(K29,1,1))+(IF(VLOOKUP(C29,'H2-CONDUCTORES DE BT'!$D$1:$BM$216,48,FALSE)="SI",VLOOKUP(C29,'H2-CONDUCTORES DE BT'!$D$2:$BM$216,50,FALSE),0))),"--")</f>
        <v>--</v>
      </c>
      <c r="AF29" s="1135" t="str">
        <f>IF($AI29="--","--",IF(AND($AZ29&gt;=11,$AZ29&lt;=14,$BA29&gt;=11,$BA29&lt;=14),'H2-CONDUCTORES DE BT'!$L19*'H2-CONDUCTORES DE BT'!$AN19*VLOOKUP($AZ29,CONDUCTORES!$A$9:$G$62,6,FALSE)+'H2-CONDUCTORES DE BT'!$BA19*VLOOKUP($BA29,CONDUCTORES!$A$9:$G$62,4,FALSE),
IF(AND($AZ29&gt;=11,$AZ29&lt;=14,$BA29&gt;=7,$BA29&lt;=10),'H2-CONDUCTORES DE BT'!$L19*'H2-CONDUCTORES DE BT'!$AN19*VLOOKUP($AZ29,CONDUCTORES!$A$9:$G$62,6,FALSE),"--")))</f>
        <v>--</v>
      </c>
      <c r="AG29" s="1139" t="str">
        <f>IF($AI29="--","--",IF(AND($AZ29&gt;=11,$AZ29&lt;=14,$BA29&gt;=7,$BA29&lt;=10),'H2-CONDUCTORES DE BT'!$BA19*VLOOKUP($BA29,CONDUCTORES!$A$9:$G$62,4,FALSE),
IF(AND($AZ29&gt;=7,$AZ29&lt;=10,$BA29&gt;=7,$BA29&lt;=10),'H2-CONDUCTORES DE BT'!$L19*'H2-CONDUCTORES DE BT'!$AN19*VLOOKUP($AZ29,CONDUCTORES!$A$9:$G$62,4,FALSE)+'H2-CONDUCTORES DE BT'!$BA19*VLOOKUP($BA29,CONDUCTORES!$A$9:$G$62,4,FALSE),
IF(AND($AZ29=15,$BA29&gt;=11,$BA29&lt;=14),'H2-CONDUCTORES DE BT'!$L19*'H2-CONDUCTORES DE BT'!$AN19*VLOOKUP($AZ29,CONDUCTORES!$A$9:$G$62,4,FALSE)+'H2-CONDUCTORES DE BT'!$BA19*VLOOKUP($BA29,CONDUCTORES!$A$9:$G$62,4,FALSE),
IF(AND($AZ29&gt;15,$BA29="  "),'H2-CONDUCTORES DE BT'!$L19*'H2-CONDUCTORES DE BT'!$AN19*VLOOKUP($AZ29,CONDUCTORES!$A$9:$G$62,4,FALSE),"--")))))</f>
        <v>--</v>
      </c>
      <c r="AH29" s="1139" t="str">
        <f t="shared" si="18"/>
        <v>--</v>
      </c>
      <c r="AI29" s="1139" t="str">
        <f t="shared" ref="AI29:AI36" si="21">IF(AND(OR(AW29="BANCO DE DUCTOS",AW29="TUBO",AW29="AÉREO"),AT29="No"),"--",AQ29)</f>
        <v>--</v>
      </c>
      <c r="AJ29" s="1118" t="str">
        <f t="shared" si="19"/>
        <v>--</v>
      </c>
      <c r="AK29" s="1119" t="str">
        <f t="shared" si="20"/>
        <v>--</v>
      </c>
      <c r="AL29" s="1118" t="str">
        <f>IF(OR($AW29="BANDEJA",$AT29="SI"),IF($AI29="--","--",VLOOKUP(AI29,CONDUITS!$L$25:$Q$36,5,FALSE)*100/(AI29*10*100)),"--")</f>
        <v>--</v>
      </c>
      <c r="AM29" s="1140" t="str">
        <f>IF(OR(AW29="BANDEJA",AT29="SI"),"2/0 AWG","--")</f>
        <v>--</v>
      </c>
      <c r="AN29" s="1142" t="str">
        <f t="shared" ref="AN29" si="22">IF(OR(AW29="BANDEJA",AT29="SI"),CONCATENATE("E-",AI29,"-10-B-0",AR29),"--")</f>
        <v>--</v>
      </c>
      <c r="AO29" s="901">
        <v>1</v>
      </c>
      <c r="AP29" s="943" t="s">
        <v>648</v>
      </c>
      <c r="AQ29" s="944" t="s">
        <v>624</v>
      </c>
      <c r="AR29" s="902">
        <v>2</v>
      </c>
      <c r="AS29" s="945" t="s">
        <v>1158</v>
      </c>
      <c r="AT29" s="906" t="s">
        <v>605</v>
      </c>
      <c r="AU29" s="946" t="s">
        <v>599</v>
      </c>
      <c r="AV29" s="906" t="s">
        <v>605</v>
      </c>
      <c r="AW29" s="946" t="str">
        <f>+VLOOKUP(C29,'H2-CONDUCTORES DE BT'!$D$2:$BL$155,23,FALSE)</f>
        <v>BANCO DE DUCTOS</v>
      </c>
      <c r="AX29" s="903" t="str">
        <f>+VLOOKUP(C29,'H2-CONDUCTORES DE BT'!$D$2:$BL$155,36,FALSE)</f>
        <v>2/0 AWG</v>
      </c>
      <c r="AY29" s="947" t="str">
        <f>+(IF((VLOOKUP(C29,'H2-CONDUCTORES DE BT'!$D$2:$BL$155,40,FALSE))="Al",IF((VLOOKUP(C29,'H2-CONDUCTORES DE BT'!$D$2:$BL$155,51,FALSE))="No",LOOKUP((VLOOKUP(C29,'H2-CONDUCTORES DE BT'!$D$2:$BL$155,16,FALSE)),CONDUCTORES!$A$111:$A$131,CONDUCTORES!$C$111:$C$131),(VLOOKUP(C29,'H2-CONDUCTORES DE BT'!$D$2:$BL$155,51,FALSE))),IF((VLOOKUP(C29,'H2-CONDUCTORES DE BT'!$D$2:$BL$155,51,FALSE))="No",LOOKUP((VLOOKUP(C29,'H2-CONDUCTORES DE BT'!$D$2:$BL$155,16,FALSE)),CONDUCTORES!$A$111:$A$131,CONDUCTORES!$B$111:$B$131),(VLOOKUP(C29,'H2-CONDUCTORES DE BT'!$D$2:$BL$155,51,FALSE)))))</f>
        <v>4 AWG</v>
      </c>
      <c r="AZ29" s="948">
        <f>VLOOKUP(C29,'H2-CONDUCTORES DE BT'!$D$2:$CL$155,COLUMN('H2-CONDUCTORES DE BT'!BS2),FALSE)</f>
        <v>8</v>
      </c>
      <c r="BA29" s="947">
        <f>IF((VLOOKUP(C29,'H2-CONDUCTORES DE BT'!$D$2:$CL$155,38,FALSE))="Monopolar",VLOOKUP(AY29,CONDUCTORES!$B$9:$X$23,23,FALSE),IF(VLOOKUP(C29,'H2-CONDUCTORES DE BT'!$D$2:$CL$420,48,FALSE)="SI",VLOOKUP(AY29,CONDUCTORES!$B$9:$X$23,23,FALSE),"  "))</f>
        <v>5</v>
      </c>
      <c r="BB29" s="949" t="str">
        <f>IF(OR(AW29="BANDEJA",AT29="Si"),IF(AI29="--","  ",IF(OR(AZ29&lt;=10,BA29&lt;=10),(AG29*100)/(AI29*10),(AF29/(VLOOKUP(AI29,CONDUITS!$A$25:$B$37,2,FALSE)))*100)),"  ")</f>
        <v xml:space="preserve">  </v>
      </c>
      <c r="BC29" s="949" t="str">
        <f>IF(OR(AW29="BANDEJA",AT29="Si"),IF(AI29="--","  ",((AF29)/(VLOOKUP(AI29,CONDUITS!$A$25:$C$37,3,FALSE)))*100),"  ")</f>
        <v xml:space="preserve">  </v>
      </c>
      <c r="BD29" s="950">
        <f>(IF(OR(BA29&lt;&gt;"BANDEJA",AX29="Si"),IF(AB29="EMT",IF(AND(VLOOKUP(C29,'H2-CONDUCTORES DE BT'!$D$2:$CH$321,38,FALSE)="Multiconductor"),(IF(W29&lt;CONDUITS!$X$8,CONDUITS!$A$8,IF(W29&lt;CONDUITS!$X$9,CONDUITS!$A$9,IF(W29&lt;CONDUITS!$X$10,CONDUITS!$A$10,IF(W29&lt;CONDUITS!$X$11,CONDUITS!$A$11,IF(W29&lt;CONDUITS!$X$12,CONDUITS!$A$12,IF(W29&lt;CONDUITS!$X$13,CONDUITS!$A$13,IF(W29&lt;CONDUITS!$X$14,CONDUITS!$A$14,IF(W29&lt;CONDUITS!$X$15,CONDUITS!$A$15,IF(W29&lt;CONDUITS!$X$16,CONDUITS!$A$16,IF(W29&lt;CONDUITS!$X$17,CONDUITS!$A$17,IF(W29&lt;CONDUITS!$X$18,CONDUITS!$A$18,IF(W29&lt;CONDUITS!$X$19,CONDUITS!$A$19,CONDUITS!$A$17))))))))))))),(IF(W29&lt;CONDUITS!$F$8,CONDUITS!$A$8,IF(W29&lt;CONDUITS!$F$9,CONDUITS!$A$9,IF(W29&lt;CONDUITS!$F$10,CONDUITS!$A$10,IF(W29&lt;CONDUITS!$F$11,CONDUITS!$A$11,IF(W29&lt;CONDUITS!$F$12,CONDUITS!$A$12,IF(W29&lt;CONDUITS!$F$13,CONDUITS!$A$13,IF(W29&lt;CONDUITS!$F$14,CONDUITS!$A$14,IF(W29&lt;CONDUITS!$F$15,CONDUITS!$A$15,IF(W29&lt;CONDUITS!$F$16,CONDUITS!$A$16,IF(W29&lt;CONDUITS!$F$17,CONDUITS!$A$17,IF(W29&lt;CONDUITS!$F$18,CONDUITS!$A$18,IF(W29&lt;CONDUITS!$F$19,CONDUITS!$A$19,CONDUITS!$A$17)))))))))))))),           IF(AB29="IMC",IF(AND(VLOOKUP(C29,'H2-CONDUCTORES DE BT'!$D$2:$CH$321,38,FALSE)="Multiconductor"),(IF(W29&lt;CONDUITS!$Y$8,CONDUITS!$A$8,IF(W29&lt;CONDUITS!$Y$9,CONDUITS!$A$9,IF(W29&lt;CONDUITS!$Y$10,CONDUITS!$A$10,IF(W29&lt;CONDUITS!$Y$11,CONDUITS!$A$11,IF(W29&lt;CONDUITS!$Y$12,CONDUITS!$A$12,IF(W29&lt;CONDUITS!$Y$13,CONDUITS!$A$13,IF(W29&lt;CONDUITS!$Y$14,CONDUITS!$A$14,IF(W29&lt;CONDUITS!$Y$15,CONDUITS!$A$15,IF(W29&lt;CONDUITS!$Y$16,CONDUITS!$A$16,IF(W29&lt;CONDUITS!$Y$17,CONDUITS!$A$17,IF(W29&lt;CONDUITS!$Y$18,CONDUITS!$A$18,IF(W29&lt;CONDUITS!$Y$19,CONDUITS!$A$19,CONDUITS!$A$17))))))))))))),(IF(W29&lt;CONDUITS!$K$8,CONDUITS!$A$8,IF(W29&lt;CONDUITS!$K$9,CONDUITS!$A$9,IF(W29&lt;CONDUITS!$K$10,CONDUITS!$A$10,IF(W29&lt;CONDUITS!$K$11,CONDUITS!$A$11,IF(W29&lt;CONDUITS!$K$12,CONDUITS!$A$12,IF(W29&lt;CONDUITS!$K$13,CONDUITS!$A$13,IF(W29&lt;CONDUITS!$K$14,CONDUITS!$A$14,IF(W29&lt;CONDUITS!$K$15,CONDUITS!$A$15,IF(W29&lt;CONDUITS!$K$16,CONDUITS!$A$16,IF(W29&lt;CONDUITS!$K$17,CONDUITS!$A$17,IF(W29&lt;CONDUITS!$K$18,CONDUITS!$A$18,IF(W29&lt;CONDUITS!$K$19,CONDUITS!$A$19,CONDUITS!$A$17)))))))))))))),           IF(AB29="RMC",IF(AND(VLOOKUP(C29,'H2-CONDUCTORES DE BT'!$D$2:$CH$321,38,FALSE)="Multiconductor"),(IF(W29&lt;CONDUITS!$Z$8,CONDUITS!$A$8,IF(W29&lt;CONDUITS!$Z$9,CONDUITS!$A$9,IF(W29&lt;CONDUITS!$Z$10,CONDUITS!$A$10,IF(W29&lt;CONDUITS!$Z$11,CONDUITS!$A$11,IF(W29&lt;CONDUITS!$Z$12,CONDUITS!$A$12,IF(W29&lt;CONDUITS!$Z$13,CONDUITS!$A$13,IF(W29&lt;CONDUITS!$Z$14,CONDUITS!$A$14,IF(W29&lt;CONDUITS!$Z$15,CONDUITS!$A$15,IF(W29&lt;CONDUITS!$Z$16,CONDUITS!$A$16,IF(W29&lt;CONDUITS!$Z$17,CONDUITS!$A$17,IF(W29&lt;CONDUITS!$Z$18,CONDUITS!$A$18,IF(W29&lt;CONDUITS!$Z$19,CONDUITS!$A$19,CONDUITS!$A$17))))))))))))),(IF(W29&lt;CONDUITS!$P$8,CONDUITS!$A$8,IF(W29&lt;CONDUITS!$P$9,CONDUITS!$A$9,IF(W29&lt;CONDUITS!$P$10,CONDUITS!$A$10,IF(W29&lt;CONDUITS!$P$11,CONDUITS!$A$11,IF(W29&lt;CONDUITS!$P$12,CONDUITS!$A$12,IF(W29&lt;CONDUITS!$P$13,CONDUITS!$A$13,IF(W29&lt;CONDUITS!$P$14,CONDUITS!$A$14,IF(W29&lt;CONDUITS!$P$15,CONDUITS!$A$15,IF(W29&lt;CONDUITS!$P$16,CONDUITS!$A$16,IF(W29&lt;CONDUITS!$P$17,CONDUITS!$A$17,IF(W29&lt;CONDUITS!$P$18,CONDUITS!$A$18,IF(W29&lt;CONDUITS!$P$19,CONDUITS!$A$19,CONDUITS!$A$18)))))))))))))),IF(OR(AB29="PVC",AB29="CONDUIT FLEXIBLE"),IF(AND(VLOOKUP(C29,'H2-CONDUCTORES DE BT'!$D$2:$CH$321,38,FALSE)="Multiconductor"),(IF(W29&lt;CONDUITS!$AA$8,CONDUITS!$A$8,IF(W29&lt;CONDUITS!$AA$9,CONDUITS!$A$9,IF(W29&lt;CONDUITS!$AA$10,CONDUITS!$A$10,IF(W29&lt;CONDUITS!$AA$11,CONDUITS!$A$11,IF(W29&lt;CONDUITS!$AA$12,CONDUITS!$A$12,IF(W29&lt;CONDUITS!$AA$13,CONDUITS!$A$13,IF(W29&lt;CONDUITS!$AA$14,CONDUITS!$A$14,IF(W29&lt;CONDUITS!$AA$15,CONDUITS!$A$15,IF(W29&lt;CONDUITS!$AA$16,CONDUITS!$A$16,IF(W29&lt;CONDUITS!$AA$17,CONDUITS!$A$17,IF(W29&lt;CONDUITS!$AA$18,CONDUITS!$A$18,IF(W29&lt;CONDUITS!$AA$19,CONDUITS!$A$19,CONDUITS!$A$17))))))))))))),(IF(W29&lt;CONDUITS!$U$8,CONDUITS!$A$8,IF(W29&lt;CONDUITS!$U$9,CONDUITS!$A$9,IF(W29&lt;CONDUITS!$U$10,CONDUITS!$A$10,IF(W29&lt;CONDUITS!$U$11,CONDUITS!$A$11,IF(W29&lt;CONDUITS!$U$12,CONDUITS!$A$12,IF(W29&lt;CONDUITS!$U$13,CONDUITS!$A$13,IF(W29&lt;CONDUITS!$U$14,CONDUITS!$A$14,IF(W29&lt;CONDUITS!$U$15,CONDUITS!$A$15,IF(W29&lt;CONDUITS!$U$16,CONDUITS!$A$16,IF(W29&lt;CONDUITS!$U$17,CONDUITS!$A$17,IF(W29&lt;CONDUITS!$U$18,CONDUITS!$A$18,IF(W29&lt;CONDUITS!$U$19,CONDUITS!$A$19,CONDUITS!$A$18)))))))))))))),"NO")))),"  "))</f>
        <v>8</v>
      </c>
      <c r="BE29" s="937">
        <f t="shared" si="0"/>
        <v>2</v>
      </c>
      <c r="BF29" s="953" t="str">
        <f>IF(OR(AW29="BANDEJA",AT29="SI"),IF((VLOOKUP(C29,'H2-CONDUCTORES DE BT'!$D$2:$AW$216,38,FALSE))="Monopolar",(IF(VLOOKUP(C29,'H2-CONDUCTORES DE BT'!$D$1:$AY$216,48,FALSE)="SI",((((VLOOKUP(C29,'H2-CONDUCTORES DE BT'!$D$2:$BM$453,37,FALSE))*(VLOOKUP(C29,'H2-CONDUCTORES DE BT'!$D$2:$BM$473,24,FALSE))  )*(LOOKUP(AZ29,CONDUCTORES!$A$9:$A$62,CONDUCTORES!$D$9:$D$62)))+(IF(AW29="BANDEJA",0,VLOOKUP(C29,'H2-CONDUCTORES DE BT'!$D$2:$BM$473,37,FALSE))*(LOOKUP(BA29,CONDUCTORES!$A$9:$A$62,CONDUCTORES!$D$9:$D$62)))+(IF(VLOOKUP(C29,'H2-CONDUCTORES DE BT'!$D$2:$BM$473,53,FALSE)="NO",0,((VLOOKUP(C29,'H2-CONDUCTORES DE BT'!$D$2:$BM$473,37,FALSE))*(LOOKUP(BI29,CONDUCTORES!$A$9:$A$62,CONDUCTORES!$D$9:$D$62)))))),(   IF(AND(AW29="BANDEJA",VLOOKUP(C29,'H2-CONDUCTORES DE BT'!$D$1:$AY$216,47,FALSE)="NO"),VLOOKUP(C29,'H2-CONDUCTORES DE BT'!$D$2:$BM$473,24,FALSE), ((VLOOKUP(C29,'H2-CONDUCTORES DE BT'!$D$2:$BM$473,37,FALSE))*(VLOOKUP(C29,'H2-CONDUCTORES DE BT'!$D$2:$BM$473,24,FALSE))   ))  *(LOOKUP(AZ29,CONDUCTORES!$A$9:$A$62,CONDUCTORES!$D$9:$D$62))))),    (VLOOKUP(C29,'H2-CONDUCTORES DE BT'!$D$2:$BM$473,37,FALSE))*(LOOKUP(AZ29,CONDUCTORES!$A$9:$A$62,CONDUCTORES!$D$9:$D$62))+(IF(VLOOKUP(C29,'H2-CONDUCTORES DE BT'!$D$1:$AY$216,48,FALSE)="SI",((VLOOKUP(C29,'H2-CONDUCTORES DE BT'!$D$2:$BM$473,37,FALSE))*(LOOKUP(BA29,CONDUCTORES!$A$9:$A$62,CONDUCTORES!$D$9:$D$62))),))),"--")</f>
        <v>--</v>
      </c>
      <c r="BG29" s="951"/>
      <c r="BH29" s="952" t="str">
        <f>IF(VLOOKUP(C29,'H2-CONDUCTORES DE BT'!$D$2:$BL$420,53,FALSE)="NO","  ",VLOOKUP(C29,'H2-CONDUCTORES DE BT'!$D$2:$BL$420,53,FALSE))</f>
        <v xml:space="preserve">  </v>
      </c>
      <c r="BI29" s="1318" t="str">
        <f>+IF(BH29="  ","  ",VLOOKUP(BH29,CONDUCTORES!$B$9:$X$23,23,FALSE))</f>
        <v xml:space="preserve">  </v>
      </c>
      <c r="BJ29" s="464" t="str">
        <f>IF(VLOOKUP(C29,'H2-CONDUCTORES DE BT'!$D$2:$CH$321,38,FALSE)="Multiconductor","MULTI","MONO")</f>
        <v>MONO</v>
      </c>
      <c r="BK29" s="1322"/>
      <c r="BL29" s="1322">
        <v>10</v>
      </c>
      <c r="BM29" s="1322">
        <f>+(LOOKUP(AZ29,CONDUCTORES!$A$9:$A$62,CONDUCTORES!$D$9:$D$62))</f>
        <v>13.41</v>
      </c>
      <c r="BN29" s="1322">
        <f>+BL29*BM29</f>
        <v>134.1</v>
      </c>
      <c r="BO29" s="1322"/>
      <c r="BP29" s="1322">
        <f>+((((5)*(   IF(AS29="Horizontal","ss",IF(OR(VLOOKUP(C29,'H2-CONDUCTORES DE BT'!$D$2:$BM$473,24,FALSE)=3,VLOOKUP(C29,'H2-CONDUCTORES DE BT'!$D$2:$BM$473,24,FALSE)=6,VLOOKUP(C29,'H2-CONDUCTORES DE BT'!$D$2:$BM$473,24,FALSE)=9,VLOOKUP(C29,'H2-CONDUCTORES DE BT'!$D$2:$BM$473,24,FALSE)=12,VLOOKUP(C29,'H2-CONDUCTORES DE BT'!$D$2:$BM$473,24,FALSE)=15,VLOOKUP(C29,'H2-CONDUCTORES DE BT'!$D$2:$BM$473,24,FALSE)=18),((VLOOKUP(C29,'H2-CONDUCTORES DE BT'!$D$2:$BM$473,24,FALSE))-((15)/3)),"2") )   )  )*(29.41))+(0))</f>
        <v>147.05000000000001</v>
      </c>
      <c r="BQ29" s="1322"/>
      <c r="BR29" s="1329" t="str">
        <f>IF(AI29="--","  ",IF(AZ29&lt;=10,('H2-CONDUCTORES DE BT'!$AA19*VLOOKUP(AZ29,CONDUCTORES!$A$9:$G$62,4,FALSE)*100)/(AI29*10),('H2-CONDUCTORES DE BT'!AA19*VLOOKUP(AZ29,CONDUCTORES!$A$9:$G$62,6,FALSE)*100)/VLOOKUP(AI29,CONDUITS!$L$25:$Q$36,4,FALSE)))</f>
        <v xml:space="preserve">  </v>
      </c>
      <c r="BS29" s="1329" t="str">
        <f>IF(AI29="--","  ",IF(OR(AZ29&lt;=10,BA29&lt;=10),(VLOOKUP(AI29,CONDUITS!$L$25:$Q$36,5,FALSE)-(28*'H2-CONDUCTORES DE BT'!$BA19*VLOOKUP(BA29,CONDUCTORES!$A$9:$G$62,4,FALSE)))*100/(AI29*10*100),VLOOKUP(AI29,CONDUITS!$L$25:$Q$36,5,FALSE)*100/(AI29*10*100)))</f>
        <v xml:space="preserve">  </v>
      </c>
      <c r="BT29" s="1322"/>
      <c r="BU29" s="1322"/>
      <c r="BV29" s="1322" t="str">
        <f>IF($AI29="--","  ",IF(AND($AZ29&lt;=10,$BA29&lt;=10),'H2-CONDUCTORES DE BT'!$AA19*VLOOKUP($AZ29,CONDUCTORES!$A$9:$G$62,4,FALSE),""))</f>
        <v xml:space="preserve">  </v>
      </c>
      <c r="BW29" s="1322" t="str">
        <f>+IF($AI29="--","  ",IF(AND($AZ29&lt;=10,$BA29&lt;=10),'H2-CONDUCTORES DE BT'!$BA19*VLOOKUP($BA29,CONDUCTORES!$A$9:$G$62,4,FALSE),""))</f>
        <v xml:space="preserve">  </v>
      </c>
      <c r="BX29" s="1322" t="str">
        <f t="shared" ref="BX29:BX36" si="23">IF($AI29="--","  ",IF(AND($AZ29&lt;=10,$BA29&lt;=10),($AI29*10),""))</f>
        <v xml:space="preserve">  </v>
      </c>
      <c r="BY29" s="1322" t="str">
        <f t="shared" ref="BY29:BY36" si="24">IF($AI29="--","  ",IF(AND($AZ29&lt;=10,$BA29&lt;=10),($BV29+$BW29)*100/$BX29,""))</f>
        <v xml:space="preserve">  </v>
      </c>
      <c r="BZ29" s="1322" t="str">
        <f>IF($AI29="--","  ",IF(AND($AZ29&gt;10,$BA29&lt;=10),'H2-CONDUCTORES DE BT'!$AA19*VLOOKUP($AZ29,CONDUCTORES!$A$9:$G$62,6,FALSE),""))</f>
        <v xml:space="preserve">  </v>
      </c>
      <c r="CA29" s="1322" t="str">
        <f>IF($AI29="--","  ",IF(AND($AZ29&gt;10,$BA29&lt;=10),'H2-CONDUCTORES DE BT'!$BA19*VLOOKUP(BA29,CONDUCTORES!$A$9:$G$62,4,FALSE),""))</f>
        <v xml:space="preserve">  </v>
      </c>
      <c r="CB29" s="1322" t="str">
        <f t="shared" ref="CB29:CB36" si="25">IF($AI29="--","  ",IF(AND($AZ29&gt;10,$BA29&lt;=10),($AI29*10*100),""))</f>
        <v xml:space="preserve">  </v>
      </c>
      <c r="CC29" s="1322" t="str">
        <f>IF($AI29="--","  ",IF(AND($AZ29&gt;10,$BA29&lt;=10),VLOOKUP($AI29,CONDUITS!$L$25:$Q$36,4,FALSE),""))</f>
        <v xml:space="preserve">  </v>
      </c>
      <c r="CD29" s="1322" t="str">
        <f>IF($AI29="--","  ",IF(AND($AZ29&gt;10,$BA29&lt;=10),VLOOKUP($AI29,CONDUITS!$L$25:$Q$36,4,FALSE),""))</f>
        <v xml:space="preserve">  </v>
      </c>
      <c r="CE29" s="1329" t="str">
        <f t="shared" ref="CE29:CE36" si="26">IF($AI29="--","  ",IF(AND($AZ29&gt;10,$BA29&lt;=10),$BZ29*100/$CB29,""))</f>
        <v xml:space="preserve">  </v>
      </c>
      <c r="CF29" s="1322" t="str">
        <f>IF($AI29="--","  ",IF(AND($AZ29&gt;10,$BA29&gt;10),'H2-CONDUCTORES DE BT'!$AA19*VLOOKUP($AZ29,CONDUCTORES!$A$9:$G$62,6,FALSE),""))</f>
        <v xml:space="preserve">  </v>
      </c>
      <c r="CG29" s="1322">
        <f>IF(OR($AI29="--",$BA29="  "),0,IF(AND($AZ29&gt;10,$BA29&gt;10),'H2-CONDUCTORES DE BT'!$BA19*VLOOKUP($BA29,CONDUCTORES!$A$9:$G$62,4,FALSE),""))</f>
        <v>0</v>
      </c>
      <c r="CH29" s="1322" t="str">
        <f t="shared" ref="CH29:CH36" si="27">IF($AI29="--","  ",IF(AND($AZ29&gt;10,$BA29&gt;10),($AI29*10*100),""))</f>
        <v xml:space="preserve">  </v>
      </c>
      <c r="CI29" s="1322" t="str">
        <f>IF($AI29="--","  ",IF(AND($AZ29&gt;10,$BA29&gt;10),VLOOKUP($AI29,CONDUITS!$L$25:$Q$36,5,FALSE),""))</f>
        <v xml:space="preserve">  </v>
      </c>
      <c r="CJ29" s="1329" t="str">
        <f t="shared" ref="CJ29:CJ36" si="28">IF($AI29="--","  ",IF(AND($AZ29&gt;10,$BA29&gt;10),$CI29*100/$CH29,""))</f>
        <v xml:space="preserve">  </v>
      </c>
      <c r="CK29" s="1329" t="str">
        <f t="shared" ref="CK29:CK36" si="29">IF($AI29="--","  ",IF(AND($AZ29&gt;10,$BA29&gt;10),($CF29+$CG29)*100/CH29,""))</f>
        <v xml:space="preserve">  </v>
      </c>
    </row>
    <row r="30" spans="1:89" s="580" customFormat="1" ht="30.6" customHeight="1" x14ac:dyDescent="0.25">
      <c r="A30" s="1185">
        <f>IF(OR(BE30=0,BE30=1),0,COUNTIF(BE$26:BE30,BE30))</f>
        <v>3</v>
      </c>
      <c r="B30" s="1144" t="str">
        <f>+_xlfn.CONCAT($B$27,".",SUBTOTAL(103,$AO$28:AO30))</f>
        <v>4.2.3</v>
      </c>
      <c r="C30" s="1836" t="str">
        <f>+'H2-CONDUCTORES DE BT'!D20</f>
        <v>PE04</v>
      </c>
      <c r="D30" s="1837"/>
      <c r="E30" s="1838"/>
      <c r="F30" s="1823" t="str">
        <f>+VLOOKUP(C30,'H2-CONDUCTORES DE BT'!$D$2:$BL$155,2,FALSE)</f>
        <v>POSTE BAJA TENSIÓN (EXISTENTE)</v>
      </c>
      <c r="G30" s="1824"/>
      <c r="H30" s="1824"/>
      <c r="I30" s="1824"/>
      <c r="J30" s="1825"/>
      <c r="K30" s="1789" t="str">
        <f>+VLOOKUP(C30,'H2-CONDUCTORES DE BT'!$D$2:$BL$155,20,FALSE)</f>
        <v>2x[3x(1x4/0 AWG)] + 2x(1Nx4/0 AWG)</v>
      </c>
      <c r="L30" s="1789"/>
      <c r="M30" s="1789"/>
      <c r="N30" s="1789"/>
      <c r="O30" s="1789"/>
      <c r="P30" s="1816" t="str">
        <f>+VLOOKUP(C30,'H2-CONDUCTORES DE BT'!$D$2:$BL$155,19,FALSE)</f>
        <v>ALUMINIO, ACSR, 600 V, 90°C, Cable Autosoportado Con Neutro En ACSR</v>
      </c>
      <c r="Q30" s="1817"/>
      <c r="R30" s="1817"/>
      <c r="S30" s="1817"/>
      <c r="T30" s="1817"/>
      <c r="U30" s="1818"/>
      <c r="V30" s="1132">
        <f>+VLOOKUP(C30,'H2-CONDUCTORES DE BT'!$D$2:$BM$166,4,FALSE)</f>
        <v>228</v>
      </c>
      <c r="W30" s="1133" t="str">
        <f t="shared" ref="W30:W36" si="30">IF(AW30="AÉREO","--",IF(OR(AW30&lt;&gt;"BANDEJA",AT30="Si"),(IF((IF(MID(K30,1,1)="1",1,IF(MID(K30,1,1)="2",2,IF(MID(K30,1,1)="3",3,IF(MID(K30,1,1)="4",4,IF(MID(K30,1,1)="5",5,IF(MID(K30,1,1)="6",6,IF(MID(K30,1,1)="7",7,IF(MID(K30,1,1)="8",8,IF(MID(K30,1,1)="9",9,10))))))))))=AA30,X30,Y30/AA30)),"--"))</f>
        <v>--</v>
      </c>
      <c r="X30" s="1133">
        <f>IF(OR(AW30&lt;&gt;"BANDEJA",AT30="Si"),IF(VLOOKUP(C30,'H2-CONDUCTORES DE BT'!$D$2:$BM$166,46,FALSE)="Motor",LOOKUP(AZ30,CONDUCTORES!$A$9:$A$62,CONDUCTORES!$AA$9:$AA$62),IF((VLOOKUP(C30,'H2-CONDUCTORES DE BT'!$D$2:$BM$166,38,FALSE))="Monopolar",IF(AND(VLOOKUP(C30,'H2-CONDUCTORES DE BT'!$D$2:$BM$166,48,FALSE)="SI",VLOOKUP(C30,'H2-CONDUCTORES DE BT'!$D$2:$BM$450,53,FALSE)="No"), (((3)*(LOOKUP(AZ30,CONDUCTORES!$A$9:$A$62,CONDUCTORES!$F$9:$F$62)))+((IF((VLOOKUP(C30,'H2-CONDUCTORES DE BT'!$D$2:$BM$166,51,FALSE))&lt;&gt;"NO",VLOOKUP(C30,'H2-CONDUCTORES DE BT'!$D$2:$BM$166,50,FALSE),1))*(LOOKUP(BA30,CONDUCTORES!$A$9:$A$62,CONDUCTORES!$F$9:$F$62)))),IF(AND(VLOOKUP(C30,'H2-CONDUCTORES DE BT'!$D$2:$BM$166,48,FALSE)="SI",VLOOKUP(C30,'H2-CONDUCTORES DE BT'!$D$2:$BM$450,53,FALSE)&lt;&gt;"No"),  (((3)*(LOOKUP(AZ30,CONDUCTORES!$A$9:$A$62,CONDUCTORES!$F$9:$F$62)))+((IF((VLOOKUP(C30,'H2-CONDUCTORES DE BT'!$D$2:$BM$166,51,FALSE))&lt;&gt;"NO",VLOOKUP(C30,'H2-CONDUCTORES DE BT'!$D$2:$BM$166,50,FALSE),1))*(LOOKUP(BA30,CONDUCTORES!$A$9:$A$62,CONDUCTORES!$F$9:$F$62)))+((VLOOKUP(C30,'H2-CONDUCTORES DE BT'!$D$2:$BM$450,52,FALSE))*(LOOKUP(BI30,CONDUCTORES!$A$9:$A$62,CONDUCTORES!$F$9:$F$62)))),IF(AND(VLOOKUP(C30,'H2-CONDUCTORES DE BT'!$D$2:$BM$166,48,FALSE)="NO",VLOOKUP(C30,'H2-CONDUCTORES DE BT'!$D$2:$BM$450,53,FALSE)&lt;&gt;"No"),((3)*(LOOKUP(AZ30,CONDUCTORES!$A$9:$A$62,CONDUCTORES!$F$9:$F$62)))+((VLOOKUP(C30,'H2-CONDUCTORES DE BT'!$D$2:$BM$450,52,FALSE))*(LOOKUP(BI30,CONDUCTORES!$A$9:$A$62,CONDUCTORES!$F$9:$F$62))),((3)*(LOOKUP(AZ30,CONDUCTORES!$A$9:$A$62,CONDUCTORES!$F$9:$F$62)))))),(LOOKUP(AZ30,CONDUCTORES!$A$9:$A$62,CONDUCTORES!$F$9:$F$62)))),"--")</f>
        <v>1031.5</v>
      </c>
      <c r="Y30" s="1133">
        <f t="shared" ref="Y30:Y36" si="31">IF(OR(AW30&lt;&gt;"BANDEJA",AT30="Si"),X30*(IF(MID(K30,1,1)="1",1,IF(MID(K30,1,1)="2",2,IF(MID(K30,1,1)="3",3,IF(MID(K30,1,1)="4",4,IF(MID(K30,1,1)="5",5,IF(MID(K30,1,1)="6",6,IF(MID(K30,1,1)="7",7,IF(MID(K30,1,1)="8",8,IF(MID(K30,1,1)="9",9,10)))))))))),"--")</f>
        <v>2063</v>
      </c>
      <c r="Z30" s="1134" t="str">
        <f>IF(OR(AW30&lt;&gt;"BANDEJA",AT30="Si"),IF(AB30="--","--",VLOOKUP(BD30,CONDUITS!$A$8:$C$19,3,FALSE)),"--")</f>
        <v>--</v>
      </c>
      <c r="AA30" s="1135" t="str">
        <f t="shared" ref="AA30:AA36" si="32">IF(OR(AW30="BANCO DE DUCTOS",AW30="TUBO",AND(AW30="BANDEJA",AT30="SI")),AO30,"--")</f>
        <v>--</v>
      </c>
      <c r="AB30" s="1136" t="str">
        <f t="shared" ref="AB30:AB36" si="33">IF(OR(AW30="BANCO DE DUCTOS",AW30="TUBO",AND(AW30="BANDEJA",AT30="SI")),AP30,"--")</f>
        <v>--</v>
      </c>
      <c r="AC30" s="1115" t="str">
        <f>IF(MOD(MID(K30,1,1),IF(OR(AW30="BANDEJA",AW30="AÉREO"),1,AA30))=0,IF(OR(AW30&lt;&gt;"BANDEJA",AT30="Si"),IF(AB30="EMT",(W30/VLOOKUP(BD30,CONDUITS!$A$8:$W$19,7)*100),IF(AB30="IMC",(W30/VLOOKUP(BD30,CONDUITS!$A$8:$W$19,12)*100),IF(AB30="RMC",(W30/VLOOKUP(BD30,CONDUITS!$A$8:$W$19,17)*100),IF(OR(AB30="PVC",AB30="CONDUIT FLEXIBLE"),(W30/VLOOKUP(BD30,CONDUITS!$A$8:$W$19,22)*100),"--")))),"--"),"NO")</f>
        <v>--</v>
      </c>
      <c r="AD30" s="1138" t="str">
        <f t="shared" ref="AD30:AD36" si="34">IF(AC30="NO","CAMBIAR CANTIDAD DE TUBOS",IF(AW30="AÉREO","--",IF(AND(AW30="BANDEJA",AT30="NO"),"--",CONCATENATE(IF(AA30=1,"",CONCATENATE(AA30,"-")),IF((MID(C30,1,3))="ILU","CA-","CP-"),MID(Z30,1,1),"0-",C30))))</f>
        <v>--</v>
      </c>
      <c r="AE30" s="1135" t="str">
        <f>IF(OR(AW30="BANDEJA",AT30="SI"),IF((VLOOKUP(C30,'H2-CONDUCTORES DE BT'!$D$2:$BM$216,38,FALSE))="Monopolar",(IF(VLOOKUP(C30,'H2-CONDUCTORES DE BT'!$D$1:$BM$216,48,FALSE)="SI",(((VLOOKUP(C30,'H2-CONDUCTORES DE BT'!$D$2:$BM$216,37,FALSE))*(VLOOKUP(C30,'H2-CONDUCTORES DE BT'!$D$2:$BM$216,9,FALSE)))+(IF(AW30="BANDEJA",1*(IF(VLOOKUP(C30,'H2-CONDUCTORES DE BT'!$D$2:$BM$216,51,FALSE)="NO",1,VLOOKUP(C30,'H2-CONDUCTORES DE BT'!$D$2:$BM$216,50,FALSE))),((AO30)*(IF(VLOOKUP(C30,'H2-CONDUCTORES DE BT'!$D$2:$BM$216,51,FALSE)="NO",1,VLOOKUP(C30,'H2-CONDUCTORES DE BT'!$D$2:$BM$216,50,FALSE))))))+(IF(VLOOKUP(C30,'H2-CONDUCTORES DE BT'!$D$2:$BM$216,53,FALSE)="NO",0,VLOOKUP(C30,'H2-CONDUCTORES DE BT'!$D$2:$BM$216,37,FALSE))*(VLOOKUP(C30,'H2-CONDUCTORES DE BT'!$D$2:$BM$216,52,FALSE)))),   IF(VLOOKUP(C30,'H2-CONDUCTORES DE BT'!$D$1:$BM$216,48,FALSE)="NO",        (((VLOOKUP(C30,'H2-CONDUCTORES DE BT'!$D$2:$BM$216,37,FALSE))*(VLOOKUP(C30,'H2-CONDUCTORES DE BT'!$D$2:$BM$216,9,FALSE)))+(IF(VLOOKUP(C30,'H2-CONDUCTORES DE BT'!$D$2:$BM$216,53,FALSE)="NO",0,VLOOKUP(C30,'H2-CONDUCTORES DE BT'!$D$2:$BM$216,37,FALSE))*(VLOOKUP(C30,'H2-CONDUCTORES DE BT'!$D$2:$BM$216,52,FALSE)))), IF(AND(AW30="BANDEJA",VLOOKUP(C30,'H2-CONDUCTORES DE BT'!$D$1:$BM$216,48,FALSE)="NO"),VLOOKUP(C30,'H2-CONDUCTORES DE BT'!$D$2:$BM$216,24,FALSE),((VLOOKUP(C30,'H2-CONDUCTORES DE BT'!$D$2:$BM$216,37,FALSE))*(VLOOKUP(C30,'H2-CONDUCTORES DE BT'!$D$2:$BM$216,24,FALSE)))))    )),(MID(K30,1,1))+(IF(VLOOKUP(C30,'H2-CONDUCTORES DE BT'!$D$1:$BM$216,48,FALSE)="SI",VLOOKUP(C30,'H2-CONDUCTORES DE BT'!$D$2:$BM$216,50,FALSE),0))),"--")</f>
        <v>--</v>
      </c>
      <c r="AF30" s="1135" t="str">
        <f>IF($AI30="--","--",IF(AND($AZ30&gt;=11,$AZ30&lt;=14,$BA30&gt;=11,$BA30&lt;=14),'H2-CONDUCTORES DE BT'!$L20*'H2-CONDUCTORES DE BT'!$AN20*VLOOKUP($AZ30,CONDUCTORES!$A$9:$G$62,6,FALSE)+'H2-CONDUCTORES DE BT'!$BA20*VLOOKUP($BA30,CONDUCTORES!$A$9:$G$62,4,FALSE),
IF(AND($AZ30&gt;=11,$AZ30&lt;=14,$BA30&gt;=7,$BA30&lt;=10),'H2-CONDUCTORES DE BT'!$L20*'H2-CONDUCTORES DE BT'!$AN20*VLOOKUP($AZ30,CONDUCTORES!$A$9:$G$62,6,FALSE),"--")))</f>
        <v>--</v>
      </c>
      <c r="AG30" s="1139" t="str">
        <f>IF($AI30="--","--",IF(AND($AZ30&gt;=11,$AZ30&lt;=14,$BA30&gt;=7,$BA30&lt;=10),'H2-CONDUCTORES DE BT'!$BA20*VLOOKUP($BA30,CONDUCTORES!$A$9:$G$62,4,FALSE),
IF(AND($AZ30&gt;=7,$AZ30&lt;=10,$BA30&gt;=7,$BA30&lt;=10),'H2-CONDUCTORES DE BT'!$L20*'H2-CONDUCTORES DE BT'!$AN20*VLOOKUP($AZ30,CONDUCTORES!$A$9:$G$62,4,FALSE)+'H2-CONDUCTORES DE BT'!$BA20*VLOOKUP($BA30,CONDUCTORES!$A$9:$G$62,4,FALSE),
IF(AND($AZ30=15,$BA30&gt;=11,$BA30&lt;=14),'H2-CONDUCTORES DE BT'!$L20*'H2-CONDUCTORES DE BT'!$AN20*VLOOKUP($AZ30,CONDUCTORES!$A$9:$G$62,4,FALSE)+'H2-CONDUCTORES DE BT'!$BA20*VLOOKUP($BA30,CONDUCTORES!$A$9:$G$62,4,FALSE),
IF(AND($AZ30&gt;15,$BA30="  "),'H2-CONDUCTORES DE BT'!$L20*'H2-CONDUCTORES DE BT'!$AN20*VLOOKUP($AZ30,CONDUCTORES!$A$9:$G$62,4,FALSE),"--")))))</f>
        <v>--</v>
      </c>
      <c r="AH30" s="1139" t="str">
        <f t="shared" si="18"/>
        <v>--</v>
      </c>
      <c r="AI30" s="1139" t="str">
        <f t="shared" si="21"/>
        <v>--</v>
      </c>
      <c r="AJ30" s="1118" t="str">
        <f t="shared" si="19"/>
        <v>--</v>
      </c>
      <c r="AK30" s="1119" t="str">
        <f t="shared" si="20"/>
        <v>--</v>
      </c>
      <c r="AL30" s="1118" t="str">
        <f>IF(OR($AW30="BANDEJA",$AT30="SI"),IF($AI30="--","--",VLOOKUP(AI30,CONDUITS!$L$25:$Q$36,5,FALSE)*100/(AI30*10*100)),"--")</f>
        <v>--</v>
      </c>
      <c r="AM30" s="1140" t="str">
        <f t="shared" ref="AM30:AM36" si="35">IF(OR(AW30="BANDEJA",AT30="SI"),"2/0 AWG","--")</f>
        <v>--</v>
      </c>
      <c r="AN30" s="1142" t="str">
        <f t="shared" ref="AN30:AN36" si="36">IF(OR(AW30="BANDEJA",AT30="SI"),CONCATENATE("E-",AI30,"-10-B-0",AR30),"--")</f>
        <v>--</v>
      </c>
      <c r="AO30" s="901">
        <v>1</v>
      </c>
      <c r="AP30" s="943" t="s">
        <v>648</v>
      </c>
      <c r="AQ30" s="944" t="s">
        <v>624</v>
      </c>
      <c r="AR30" s="902">
        <v>2</v>
      </c>
      <c r="AS30" s="945" t="s">
        <v>1158</v>
      </c>
      <c r="AT30" s="906" t="s">
        <v>605</v>
      </c>
      <c r="AU30" s="946" t="s">
        <v>599</v>
      </c>
      <c r="AV30" s="906" t="s">
        <v>605</v>
      </c>
      <c r="AW30" s="946" t="str">
        <f>+VLOOKUP(C30,'H2-CONDUCTORES DE BT'!$D$2:$BL$155,23,FALSE)</f>
        <v>AÉREO</v>
      </c>
      <c r="AX30" s="903" t="str">
        <f>+VLOOKUP(C30,'H2-CONDUCTORES DE BT'!$D$2:$BL$155,36,FALSE)</f>
        <v>4/0 AWG</v>
      </c>
      <c r="AY30" s="947" t="str">
        <f>+(IF((VLOOKUP(C30,'H2-CONDUCTORES DE BT'!$D$2:$BL$155,40,FALSE))="Al",IF((VLOOKUP(C30,'H2-CONDUCTORES DE BT'!$D$2:$BL$155,51,FALSE))="No",LOOKUP((VLOOKUP(C30,'H2-CONDUCTORES DE BT'!$D$2:$BL$155,16,FALSE)),CONDUCTORES!$A$111:$A$131,CONDUCTORES!$C$111:$C$131),(VLOOKUP(C30,'H2-CONDUCTORES DE BT'!$D$2:$BL$155,51,FALSE))),IF((VLOOKUP(C30,'H2-CONDUCTORES DE BT'!$D$2:$BL$155,51,FALSE))="No",LOOKUP((VLOOKUP(C30,'H2-CONDUCTORES DE BT'!$D$2:$BL$155,16,FALSE)),CONDUCTORES!$A$111:$A$131,CONDUCTORES!$B$111:$B$131),(VLOOKUP(C30,'H2-CONDUCTORES DE BT'!$D$2:$BL$155,51,FALSE)))))</f>
        <v>4/0 AWG</v>
      </c>
      <c r="AZ30" s="948">
        <f>VLOOKUP(C30,'H2-CONDUCTORES DE BT'!$D$2:$CL$155,COLUMN('H2-CONDUCTORES DE BT'!BS3),FALSE)</f>
        <v>10</v>
      </c>
      <c r="BA30" s="947">
        <f>IF((VLOOKUP(C30,'H2-CONDUCTORES DE BT'!$D$2:$CL$155,38,FALSE))="Monopolar",VLOOKUP(AY30,CONDUCTORES!$B$9:$X$23,23,FALSE),IF(VLOOKUP(C30,'H2-CONDUCTORES DE BT'!$D$2:$CL$420,48,FALSE)="SI",VLOOKUP(AY30,CONDUCTORES!$B$9:$X$23,23,FALSE),"  "))</f>
        <v>10</v>
      </c>
      <c r="BB30" s="949" t="str">
        <f>IF(OR(AW30="BANDEJA",AT30="Si"),IF(AI30="--","  ",IF(OR(AZ30&lt;=10,BA30&lt;=10),(AG30*100)/(AI30*10),(AF30/(VLOOKUP(AI30,CONDUITS!$A$25:$B$37,2,FALSE)))*100)),"  ")</f>
        <v xml:space="preserve">  </v>
      </c>
      <c r="BC30" s="949" t="str">
        <f>IF(OR(AW30="BANDEJA",AT30="Si"),IF(AI30="--","  ",((AF30)/(VLOOKUP(AI30,CONDUITS!$A$25:$C$37,3,FALSE)))*100),"  ")</f>
        <v xml:space="preserve">  </v>
      </c>
      <c r="BD30" s="950" t="str">
        <f>(IF(OR(BA30&lt;&gt;"BANDEJA",AX30="Si"),IF(AB30="EMT",IF(AND(VLOOKUP(C30,'H2-CONDUCTORES DE BT'!$D$2:$CH$321,38,FALSE)="Multiconductor"),(IF(W30&lt;CONDUITS!$X$8,CONDUITS!$A$8,IF(W30&lt;CONDUITS!$X$9,CONDUITS!$A$9,IF(W30&lt;CONDUITS!$X$10,CONDUITS!$A$10,IF(W30&lt;CONDUITS!$X$11,CONDUITS!$A$11,IF(W30&lt;CONDUITS!$X$12,CONDUITS!$A$12,IF(W30&lt;CONDUITS!$X$13,CONDUITS!$A$13,IF(W30&lt;CONDUITS!$X$14,CONDUITS!$A$14,IF(W30&lt;CONDUITS!$X$15,CONDUITS!$A$15,IF(W30&lt;CONDUITS!$X$16,CONDUITS!$A$16,IF(W30&lt;CONDUITS!$X$17,CONDUITS!$A$17,IF(W30&lt;CONDUITS!$X$18,CONDUITS!$A$18,IF(W30&lt;CONDUITS!$X$19,CONDUITS!$A$19,CONDUITS!$A$17))))))))))))),(IF(W30&lt;CONDUITS!$F$8,CONDUITS!$A$8,IF(W30&lt;CONDUITS!$F$9,CONDUITS!$A$9,IF(W30&lt;CONDUITS!$F$10,CONDUITS!$A$10,IF(W30&lt;CONDUITS!$F$11,CONDUITS!$A$11,IF(W30&lt;CONDUITS!$F$12,CONDUITS!$A$12,IF(W30&lt;CONDUITS!$F$13,CONDUITS!$A$13,IF(W30&lt;CONDUITS!$F$14,CONDUITS!$A$14,IF(W30&lt;CONDUITS!$F$15,CONDUITS!$A$15,IF(W30&lt;CONDUITS!$F$16,CONDUITS!$A$16,IF(W30&lt;CONDUITS!$F$17,CONDUITS!$A$17,IF(W30&lt;CONDUITS!$F$18,CONDUITS!$A$18,IF(W30&lt;CONDUITS!$F$19,CONDUITS!$A$19,CONDUITS!$A$17)))))))))))))),           IF(AB30="IMC",IF(AND(VLOOKUP(C30,'H2-CONDUCTORES DE BT'!$D$2:$CH$321,38,FALSE)="Multiconductor"),(IF(W30&lt;CONDUITS!$Y$8,CONDUITS!$A$8,IF(W30&lt;CONDUITS!$Y$9,CONDUITS!$A$9,IF(W30&lt;CONDUITS!$Y$10,CONDUITS!$A$10,IF(W30&lt;CONDUITS!$Y$11,CONDUITS!$A$11,IF(W30&lt;CONDUITS!$Y$12,CONDUITS!$A$12,IF(W30&lt;CONDUITS!$Y$13,CONDUITS!$A$13,IF(W30&lt;CONDUITS!$Y$14,CONDUITS!$A$14,IF(W30&lt;CONDUITS!$Y$15,CONDUITS!$A$15,IF(W30&lt;CONDUITS!$Y$16,CONDUITS!$A$16,IF(W30&lt;CONDUITS!$Y$17,CONDUITS!$A$17,IF(W30&lt;CONDUITS!$Y$18,CONDUITS!$A$18,IF(W30&lt;CONDUITS!$Y$19,CONDUITS!$A$19,CONDUITS!$A$17))))))))))))),(IF(W30&lt;CONDUITS!$K$8,CONDUITS!$A$8,IF(W30&lt;CONDUITS!$K$9,CONDUITS!$A$9,IF(W30&lt;CONDUITS!$K$10,CONDUITS!$A$10,IF(W30&lt;CONDUITS!$K$11,CONDUITS!$A$11,IF(W30&lt;CONDUITS!$K$12,CONDUITS!$A$12,IF(W30&lt;CONDUITS!$K$13,CONDUITS!$A$13,IF(W30&lt;CONDUITS!$K$14,CONDUITS!$A$14,IF(W30&lt;CONDUITS!$K$15,CONDUITS!$A$15,IF(W30&lt;CONDUITS!$K$16,CONDUITS!$A$16,IF(W30&lt;CONDUITS!$K$17,CONDUITS!$A$17,IF(W30&lt;CONDUITS!$K$18,CONDUITS!$A$18,IF(W30&lt;CONDUITS!$K$19,CONDUITS!$A$19,CONDUITS!$A$17)))))))))))))),           IF(AB30="RMC",IF(AND(VLOOKUP(C30,'H2-CONDUCTORES DE BT'!$D$2:$CH$321,38,FALSE)="Multiconductor"),(IF(W30&lt;CONDUITS!$Z$8,CONDUITS!$A$8,IF(W30&lt;CONDUITS!$Z$9,CONDUITS!$A$9,IF(W30&lt;CONDUITS!$Z$10,CONDUITS!$A$10,IF(W30&lt;CONDUITS!$Z$11,CONDUITS!$A$11,IF(W30&lt;CONDUITS!$Z$12,CONDUITS!$A$12,IF(W30&lt;CONDUITS!$Z$13,CONDUITS!$A$13,IF(W30&lt;CONDUITS!$Z$14,CONDUITS!$A$14,IF(W30&lt;CONDUITS!$Z$15,CONDUITS!$A$15,IF(W30&lt;CONDUITS!$Z$16,CONDUITS!$A$16,IF(W30&lt;CONDUITS!$Z$17,CONDUITS!$A$17,IF(W30&lt;CONDUITS!$Z$18,CONDUITS!$A$18,IF(W30&lt;CONDUITS!$Z$19,CONDUITS!$A$19,CONDUITS!$A$17))))))))))))),(IF(W30&lt;CONDUITS!$P$8,CONDUITS!$A$8,IF(W30&lt;CONDUITS!$P$9,CONDUITS!$A$9,IF(W30&lt;CONDUITS!$P$10,CONDUITS!$A$10,IF(W30&lt;CONDUITS!$P$11,CONDUITS!$A$11,IF(W30&lt;CONDUITS!$P$12,CONDUITS!$A$12,IF(W30&lt;CONDUITS!$P$13,CONDUITS!$A$13,IF(W30&lt;CONDUITS!$P$14,CONDUITS!$A$14,IF(W30&lt;CONDUITS!$P$15,CONDUITS!$A$15,IF(W30&lt;CONDUITS!$P$16,CONDUITS!$A$16,IF(W30&lt;CONDUITS!$P$17,CONDUITS!$A$17,IF(W30&lt;CONDUITS!$P$18,CONDUITS!$A$18,IF(W30&lt;CONDUITS!$P$19,CONDUITS!$A$19,CONDUITS!$A$18)))))))))))))),IF(OR(AB30="PVC",AB30="CONDUIT FLEXIBLE"),IF(AND(VLOOKUP(C30,'H2-CONDUCTORES DE BT'!$D$2:$CH$321,38,FALSE)="Multiconductor"),(IF(W30&lt;CONDUITS!$AA$8,CONDUITS!$A$8,IF(W30&lt;CONDUITS!$AA$9,CONDUITS!$A$9,IF(W30&lt;CONDUITS!$AA$10,CONDUITS!$A$10,IF(W30&lt;CONDUITS!$AA$11,CONDUITS!$A$11,IF(W30&lt;CONDUITS!$AA$12,CONDUITS!$A$12,IF(W30&lt;CONDUITS!$AA$13,CONDUITS!$A$13,IF(W30&lt;CONDUITS!$AA$14,CONDUITS!$A$14,IF(W30&lt;CONDUITS!$AA$15,CONDUITS!$A$15,IF(W30&lt;CONDUITS!$AA$16,CONDUITS!$A$16,IF(W30&lt;CONDUITS!$AA$17,CONDUITS!$A$17,IF(W30&lt;CONDUITS!$AA$18,CONDUITS!$A$18,IF(W30&lt;CONDUITS!$AA$19,CONDUITS!$A$19,CONDUITS!$A$17))))))))))))),(IF(W30&lt;CONDUITS!$U$8,CONDUITS!$A$8,IF(W30&lt;CONDUITS!$U$9,CONDUITS!$A$9,IF(W30&lt;CONDUITS!$U$10,CONDUITS!$A$10,IF(W30&lt;CONDUITS!$U$11,CONDUITS!$A$11,IF(W30&lt;CONDUITS!$U$12,CONDUITS!$A$12,IF(W30&lt;CONDUITS!$U$13,CONDUITS!$A$13,IF(W30&lt;CONDUITS!$U$14,CONDUITS!$A$14,IF(W30&lt;CONDUITS!$U$15,CONDUITS!$A$15,IF(W30&lt;CONDUITS!$U$16,CONDUITS!$A$16,IF(W30&lt;CONDUITS!$U$17,CONDUITS!$A$17,IF(W30&lt;CONDUITS!$U$18,CONDUITS!$A$18,IF(W30&lt;CONDUITS!$U$19,CONDUITS!$A$19,CONDUITS!$A$18)))))))))))))),"NO")))),"  "))</f>
        <v>NO</v>
      </c>
      <c r="BE30" s="937">
        <f t="shared" ref="BE30:BE36" si="37">LEN(B30)-LEN(SUBSTITUTE(B30,IF(ISNUMBER(FIND(".",B30)),".",","),""))</f>
        <v>2</v>
      </c>
      <c r="BF30" s="953" t="str">
        <f>IF(OR(AW30="BANDEJA",AT30="SI"),IF((VLOOKUP(C30,'H2-CONDUCTORES DE BT'!$D$2:$AW$216,38,FALSE))="Monopolar",(IF(VLOOKUP(C30,'H2-CONDUCTORES DE BT'!$D$1:$AY$216,48,FALSE)="SI",((((VLOOKUP(C30,'H2-CONDUCTORES DE BT'!$D$2:$BM$453,37,FALSE))*(VLOOKUP(C30,'H2-CONDUCTORES DE BT'!$D$2:$BM$473,24,FALSE))  )*(LOOKUP(AZ30,CONDUCTORES!$A$9:$A$62,CONDUCTORES!$D$9:$D$62)))+(IF(AW30="BANDEJA",0,VLOOKUP(C30,'H2-CONDUCTORES DE BT'!$D$2:$BM$473,37,FALSE))*(LOOKUP(BA30,CONDUCTORES!$A$9:$A$62,CONDUCTORES!$D$9:$D$62)))+(IF(VLOOKUP(C30,'H2-CONDUCTORES DE BT'!$D$2:$BM$473,53,FALSE)="NO",0,((VLOOKUP(C30,'H2-CONDUCTORES DE BT'!$D$2:$BM$473,37,FALSE))*(LOOKUP(BI30,CONDUCTORES!$A$9:$A$62,CONDUCTORES!$D$9:$D$62)))))),(   IF(AND(AW30="BANDEJA",VLOOKUP(C30,'H2-CONDUCTORES DE BT'!$D$1:$AY$216,47,FALSE)="NO"),VLOOKUP(C30,'H2-CONDUCTORES DE BT'!$D$2:$BM$473,24,FALSE), ((VLOOKUP(C30,'H2-CONDUCTORES DE BT'!$D$2:$BM$473,37,FALSE))*(VLOOKUP(C30,'H2-CONDUCTORES DE BT'!$D$2:$BM$473,24,FALSE))   ))  *(LOOKUP(AZ30,CONDUCTORES!$A$9:$A$62,CONDUCTORES!$D$9:$D$62))))),    (VLOOKUP(C30,'H2-CONDUCTORES DE BT'!$D$2:$BM$473,37,FALSE))*(LOOKUP(AZ30,CONDUCTORES!$A$9:$A$62,CONDUCTORES!$D$9:$D$62))+(IF(VLOOKUP(C30,'H2-CONDUCTORES DE BT'!$D$1:$AY$216,48,FALSE)="SI",((VLOOKUP(C30,'H2-CONDUCTORES DE BT'!$D$2:$BM$473,37,FALSE))*(LOOKUP(BA30,CONDUCTORES!$A$9:$A$62,CONDUCTORES!$D$9:$D$62))),))),"--")</f>
        <v>--</v>
      </c>
      <c r="BG30" s="951"/>
      <c r="BH30" s="952" t="str">
        <f>IF(VLOOKUP(C30,'H2-CONDUCTORES DE BT'!$D$2:$BL$420,53,FALSE)="NO","  ",VLOOKUP(C30,'H2-CONDUCTORES DE BT'!$D$2:$BL$420,53,FALSE))</f>
        <v xml:space="preserve">  </v>
      </c>
      <c r="BI30" s="1318" t="str">
        <f>+IF(BH30="  ","  ",VLOOKUP(BH30,CONDUCTORES!$B$9:$X$23,23,FALSE))</f>
        <v xml:space="preserve">  </v>
      </c>
      <c r="BJ30" s="464" t="str">
        <f>IF(VLOOKUP(C30,'H2-CONDUCTORES DE BT'!$D$2:$CH$321,38,FALSE)="Multiconductor","MULTI","MONO")</f>
        <v>MONO</v>
      </c>
      <c r="BK30" s="1322"/>
      <c r="BL30" s="1322">
        <v>10</v>
      </c>
      <c r="BM30" s="1322">
        <f>+(LOOKUP(AZ30,CONDUCTORES!$A$9:$A$62,CONDUCTORES!$D$9:$D$62))</f>
        <v>16.21</v>
      </c>
      <c r="BN30" s="1322">
        <f t="shared" ref="BN30:BN36" si="38">+BL30*BM30</f>
        <v>162.10000000000002</v>
      </c>
      <c r="BO30" s="1322"/>
      <c r="BP30" s="1322">
        <f>+((((5)*(   IF(AS30="Horizontal","ss",IF(OR(VLOOKUP(C30,'H2-CONDUCTORES DE BT'!$D$2:$BM$473,24,FALSE)=3,VLOOKUP(C30,'H2-CONDUCTORES DE BT'!$D$2:$BM$473,24,FALSE)=6,VLOOKUP(C30,'H2-CONDUCTORES DE BT'!$D$2:$BM$473,24,FALSE)=9,VLOOKUP(C30,'H2-CONDUCTORES DE BT'!$D$2:$BM$473,24,FALSE)=12,VLOOKUP(C30,'H2-CONDUCTORES DE BT'!$D$2:$BM$473,24,FALSE)=15,VLOOKUP(C30,'H2-CONDUCTORES DE BT'!$D$2:$BM$473,24,FALSE)=18),((VLOOKUP(C30,'H2-CONDUCTORES DE BT'!$D$2:$BM$473,24,FALSE))-((15)/3)),"2") )   )  )*(29.41))+(0))</f>
        <v>147.05000000000001</v>
      </c>
      <c r="BQ30" s="1322"/>
      <c r="BR30" s="1329" t="str">
        <f>IF(AI30="--","  ",IF(AZ30&lt;=10,('H2-CONDUCTORES DE BT'!$AA20*VLOOKUP(AZ30,CONDUCTORES!$A$9:$G$62,4,FALSE)*100)/(AI30*10),('H2-CONDUCTORES DE BT'!AA20*VLOOKUP(AZ30,CONDUCTORES!$A$9:$G$62,6,FALSE)*100)/VLOOKUP(AI30,CONDUITS!$L$25:$Q$36,4,FALSE)))</f>
        <v xml:space="preserve">  </v>
      </c>
      <c r="BS30" s="1329" t="str">
        <f>IF(AI30="--","  ",IF(OR(AZ30&lt;=10,BA30&lt;=10),(VLOOKUP(AI30,CONDUITS!$L$25:$Q$36,5,FALSE)-(28*'H2-CONDUCTORES DE BT'!$BA20*VLOOKUP(BA30,CONDUCTORES!$A$9:$G$62,4,FALSE)))*100/(AI30*10*100),VLOOKUP(AI30,CONDUITS!$L$25:$Q$36,5,FALSE)*100/(AI30*10*100)))</f>
        <v xml:space="preserve">  </v>
      </c>
      <c r="BT30" s="1322"/>
      <c r="BU30" s="1322"/>
      <c r="BV30" s="1322" t="str">
        <f>IF($AI30="--","  ",IF(AND($AZ30&lt;=10,$BA30&lt;=10),'H2-CONDUCTORES DE BT'!$AA20*VLOOKUP($AZ30,CONDUCTORES!$A$9:$G$62,4,FALSE),""))</f>
        <v xml:space="preserve">  </v>
      </c>
      <c r="BW30" s="1322" t="str">
        <f>+IF($AI30="--","  ",IF(AND($AZ30&lt;=10,$BA30&lt;=10),'H2-CONDUCTORES DE BT'!$BA20*VLOOKUP($BA30,CONDUCTORES!$A$9:$G$62,4,FALSE),""))</f>
        <v xml:space="preserve">  </v>
      </c>
      <c r="BX30" s="1322" t="str">
        <f t="shared" si="23"/>
        <v xml:space="preserve">  </v>
      </c>
      <c r="BY30" s="1322" t="str">
        <f t="shared" si="24"/>
        <v xml:space="preserve">  </v>
      </c>
      <c r="BZ30" s="1322" t="str">
        <f>IF($AI30="--","  ",IF(AND($AZ30&gt;10,$BA30&lt;=10),'H2-CONDUCTORES DE BT'!$AA20*VLOOKUP($AZ30,CONDUCTORES!$A$9:$G$62,6,FALSE),""))</f>
        <v xml:space="preserve">  </v>
      </c>
      <c r="CA30" s="1322" t="str">
        <f>IF($AI30="--","  ",IF(AND($AZ30&gt;10,$BA30&lt;=10),'H2-CONDUCTORES DE BT'!$BA20*VLOOKUP(BA30,CONDUCTORES!$A$9:$G$62,4,FALSE),""))</f>
        <v xml:space="preserve">  </v>
      </c>
      <c r="CB30" s="1322" t="str">
        <f t="shared" si="25"/>
        <v xml:space="preserve">  </v>
      </c>
      <c r="CC30" s="1322" t="str">
        <f>IF($AI30="--","  ",IF(AND($AZ30&gt;10,$BA30&lt;=10),VLOOKUP($AI30,CONDUITS!$L$25:$Q$36,4,FALSE),""))</f>
        <v xml:space="preserve">  </v>
      </c>
      <c r="CD30" s="1322" t="str">
        <f>IF($AI30="--","  ",IF(AND($AZ30&gt;10,$BA30&lt;=10),VLOOKUP($AI30,CONDUITS!$L$25:$Q$36,4,FALSE),""))</f>
        <v xml:space="preserve">  </v>
      </c>
      <c r="CE30" s="1329" t="str">
        <f t="shared" si="26"/>
        <v xml:space="preserve">  </v>
      </c>
      <c r="CF30" s="1322" t="str">
        <f>IF($AI30="--","  ",IF(AND($AZ30&gt;10,$BA30&gt;10),'H2-CONDUCTORES DE BT'!$AA20*VLOOKUP($AZ30,CONDUCTORES!$A$9:$G$62,6,FALSE),""))</f>
        <v xml:space="preserve">  </v>
      </c>
      <c r="CG30" s="1322">
        <f>IF(OR($AI30="--",$BA30="  "),0,IF(AND($AZ30&gt;10,$BA30&gt;10),'H2-CONDUCTORES DE BT'!$BA20*VLOOKUP($BA30,CONDUCTORES!$A$9:$G$62,4,FALSE),""))</f>
        <v>0</v>
      </c>
      <c r="CH30" s="1322" t="str">
        <f t="shared" si="27"/>
        <v xml:space="preserve">  </v>
      </c>
      <c r="CI30" s="1322" t="str">
        <f>IF($AI30="--","  ",IF(AND($AZ30&gt;10,$BA30&gt;10),VLOOKUP($AI30,CONDUITS!$L$25:$Q$36,5,FALSE),""))</f>
        <v xml:space="preserve">  </v>
      </c>
      <c r="CJ30" s="1329" t="str">
        <f t="shared" si="28"/>
        <v xml:space="preserve">  </v>
      </c>
      <c r="CK30" s="1329" t="str">
        <f t="shared" si="29"/>
        <v xml:space="preserve">  </v>
      </c>
    </row>
    <row r="31" spans="1:89" s="580" customFormat="1" ht="30.6" customHeight="1" x14ac:dyDescent="0.25">
      <c r="A31" s="1185">
        <f>IF(OR(BE31=0,BE31=1),0,COUNTIF(BE$26:BE31,BE31))</f>
        <v>4</v>
      </c>
      <c r="B31" s="1144" t="str">
        <f>+_xlfn.CONCAT($B$27,".",SUBTOTAL(103,$AO$28:AO31))</f>
        <v>4.2.4</v>
      </c>
      <c r="C31" s="1836" t="str">
        <f>+'H2-CONDUCTORES DE BT'!D21</f>
        <v>TBT-DT-97</v>
      </c>
      <c r="D31" s="1837"/>
      <c r="E31" s="1838"/>
      <c r="F31" s="1823" t="str">
        <f>+VLOOKUP(C31,'H2-CONDUCTORES DE BT'!$D$2:$BL$155,2,FALSE)</f>
        <v>TABLERO BAJA TENSIÓN (EXISTENTE)</v>
      </c>
      <c r="G31" s="1824"/>
      <c r="H31" s="1824"/>
      <c r="I31" s="1824"/>
      <c r="J31" s="1825"/>
      <c r="K31" s="1789" t="str">
        <f>+VLOOKUP(C31,'H2-CONDUCTORES DE BT'!$D$2:$BL$155,20,FALSE)</f>
        <v>2x[3x(1x2/0 AWG)] + 1x(2Gx4 AWG)</v>
      </c>
      <c r="L31" s="1789"/>
      <c r="M31" s="1789"/>
      <c r="N31" s="1789"/>
      <c r="O31" s="1789"/>
      <c r="P31" s="1816" t="str">
        <f>+VLOOKUP(C31,'H2-CONDUCTORES DE BT'!$D$2:$BL$155,19,FALSE)</f>
        <v>ALUMINIO, XHHW-2, 600 V, 90°C, Monopolar</v>
      </c>
      <c r="Q31" s="1817"/>
      <c r="R31" s="1817"/>
      <c r="S31" s="1817"/>
      <c r="T31" s="1817"/>
      <c r="U31" s="1818"/>
      <c r="V31" s="1132">
        <f>+VLOOKUP(C31,'H2-CONDUCTORES DE BT'!$D$2:$BM$166,4,FALSE)</f>
        <v>15</v>
      </c>
      <c r="W31" s="1133">
        <f t="shared" si="30"/>
        <v>1057.8800000000001</v>
      </c>
      <c r="X31" s="1133">
        <f>IF(OR(AW31&lt;&gt;"BANDEJA",AT31="Si"),IF(VLOOKUP(C31,'H2-CONDUCTORES DE BT'!$D$2:$BM$166,46,FALSE)="Motor",LOOKUP(AZ31,CONDUCTORES!$A$9:$A$62,CONDUCTORES!$AA$9:$AA$62),IF((VLOOKUP(C31,'H2-CONDUCTORES DE BT'!$D$2:$BM$166,38,FALSE))="Monopolar",IF(AND(VLOOKUP(C31,'H2-CONDUCTORES DE BT'!$D$2:$BM$166,48,FALSE)="SI",VLOOKUP(C31,'H2-CONDUCTORES DE BT'!$D$2:$BM$450,53,FALSE)="No"), (((3)*(LOOKUP(AZ31,CONDUCTORES!$A$9:$A$62,CONDUCTORES!$F$9:$F$62)))+((IF((VLOOKUP(C31,'H2-CONDUCTORES DE BT'!$D$2:$BM$166,51,FALSE))&lt;&gt;"NO",VLOOKUP(C31,'H2-CONDUCTORES DE BT'!$D$2:$BM$166,50,FALSE),1))*(LOOKUP(BA31,CONDUCTORES!$A$9:$A$62,CONDUCTORES!$F$9:$F$62)))),IF(AND(VLOOKUP(C31,'H2-CONDUCTORES DE BT'!$D$2:$BM$166,48,FALSE)="SI",VLOOKUP(C31,'H2-CONDUCTORES DE BT'!$D$2:$BM$450,53,FALSE)&lt;&gt;"No"),  (((3)*(LOOKUP(AZ31,CONDUCTORES!$A$9:$A$62,CONDUCTORES!$F$9:$F$62)))+((IF((VLOOKUP(C31,'H2-CONDUCTORES DE BT'!$D$2:$BM$166,51,FALSE))&lt;&gt;"NO",VLOOKUP(C31,'H2-CONDUCTORES DE BT'!$D$2:$BM$166,50,FALSE),1))*(LOOKUP(BA31,CONDUCTORES!$A$9:$A$62,CONDUCTORES!$F$9:$F$62)))+((VLOOKUP(C31,'H2-CONDUCTORES DE BT'!$D$2:$BM$450,52,FALSE))*(LOOKUP(BI31,CONDUCTORES!$A$9:$A$62,CONDUCTORES!$F$9:$F$62)))),IF(AND(VLOOKUP(C31,'H2-CONDUCTORES DE BT'!$D$2:$BM$166,48,FALSE)="NO",VLOOKUP(C31,'H2-CONDUCTORES DE BT'!$D$2:$BM$450,53,FALSE)&lt;&gt;"No"),((3)*(LOOKUP(AZ31,CONDUCTORES!$A$9:$A$62,CONDUCTORES!$F$9:$F$62)))+((VLOOKUP(C31,'H2-CONDUCTORES DE BT'!$D$2:$BM$450,52,FALSE))*(LOOKUP(BI31,CONDUCTORES!$A$9:$A$62,CONDUCTORES!$F$9:$F$62))),((3)*(LOOKUP(AZ31,CONDUCTORES!$A$9:$A$62,CONDUCTORES!$F$9:$F$62)))))),(LOOKUP(AZ31,CONDUCTORES!$A$9:$A$62,CONDUCTORES!$F$9:$F$62)))),"--")</f>
        <v>528.94000000000005</v>
      </c>
      <c r="Y31" s="1133">
        <f t="shared" si="31"/>
        <v>1057.8800000000001</v>
      </c>
      <c r="Z31" s="1134" t="str">
        <f>IF(OR(AW31&lt;&gt;"BANDEJA",AT31="Si"),IF(AB31="--","--",VLOOKUP(BD31,CONDUITS!$A$8:$C$19,3,FALSE)),"--")</f>
        <v>3"</v>
      </c>
      <c r="AA31" s="1135">
        <f t="shared" si="32"/>
        <v>1</v>
      </c>
      <c r="AB31" s="1136" t="str">
        <f t="shared" si="33"/>
        <v>PVC</v>
      </c>
      <c r="AC31" s="1115">
        <f>IF(MOD(MID(K31,1,1),IF(OR(AW31="BANDEJA",AW31="AÉREO"),1,AA31))=0,IF(OR(AW31&lt;&gt;"BANDEJA",AT31="Si"),IF(AB31="EMT",(W31/VLOOKUP(BD31,CONDUITS!$A$8:$W$19,7)*100),IF(AB31="IMC",(W31/VLOOKUP(BD31,CONDUITS!$A$8:$W$19,12)*100),IF(AB31="RMC",(W31/VLOOKUP(BD31,CONDUITS!$A$8:$W$19,17)*100),IF(OR(AB31="PVC",AB31="CONDUIT FLEXIBLE"),(W31/VLOOKUP(BD31,CONDUITS!$A$8:$W$19,22)*100),"--")))),"--"),"NO")</f>
        <v>19.19876036390577</v>
      </c>
      <c r="AD31" s="1138" t="str">
        <f t="shared" si="34"/>
        <v>CP-30-TBT-DT-97</v>
      </c>
      <c r="AE31" s="1135" t="str">
        <f>IF(OR(AW31="BANDEJA",AT31="SI"),IF((VLOOKUP(C31,'H2-CONDUCTORES DE BT'!$D$2:$BM$216,38,FALSE))="Monopolar",(IF(VLOOKUP(C31,'H2-CONDUCTORES DE BT'!$D$1:$BM$216,48,FALSE)="SI",(((VLOOKUP(C31,'H2-CONDUCTORES DE BT'!$D$2:$BM$216,37,FALSE))*(VLOOKUP(C31,'H2-CONDUCTORES DE BT'!$D$2:$BM$216,9,FALSE)))+(IF(AW31="BANDEJA",1*(IF(VLOOKUP(C31,'H2-CONDUCTORES DE BT'!$D$2:$BM$216,51,FALSE)="NO",1,VLOOKUP(C31,'H2-CONDUCTORES DE BT'!$D$2:$BM$216,50,FALSE))),((AO31)*(IF(VLOOKUP(C31,'H2-CONDUCTORES DE BT'!$D$2:$BM$216,51,FALSE)="NO",1,VLOOKUP(C31,'H2-CONDUCTORES DE BT'!$D$2:$BM$216,50,FALSE))))))+(IF(VLOOKUP(C31,'H2-CONDUCTORES DE BT'!$D$2:$BM$216,53,FALSE)="NO",0,VLOOKUP(C31,'H2-CONDUCTORES DE BT'!$D$2:$BM$216,37,FALSE))*(VLOOKUP(C31,'H2-CONDUCTORES DE BT'!$D$2:$BM$216,52,FALSE)))),   IF(VLOOKUP(C31,'H2-CONDUCTORES DE BT'!$D$1:$BM$216,48,FALSE)="NO",        (((VLOOKUP(C31,'H2-CONDUCTORES DE BT'!$D$2:$BM$216,37,FALSE))*(VLOOKUP(C31,'H2-CONDUCTORES DE BT'!$D$2:$BM$216,9,FALSE)))+(IF(VLOOKUP(C31,'H2-CONDUCTORES DE BT'!$D$2:$BM$216,53,FALSE)="NO",0,VLOOKUP(C31,'H2-CONDUCTORES DE BT'!$D$2:$BM$216,37,FALSE))*(VLOOKUP(C31,'H2-CONDUCTORES DE BT'!$D$2:$BM$216,52,FALSE)))), IF(AND(AW31="BANDEJA",VLOOKUP(C31,'H2-CONDUCTORES DE BT'!$D$1:$BM$216,48,FALSE)="NO"),VLOOKUP(C31,'H2-CONDUCTORES DE BT'!$D$2:$BM$216,24,FALSE),((VLOOKUP(C31,'H2-CONDUCTORES DE BT'!$D$2:$BM$216,37,FALSE))*(VLOOKUP(C31,'H2-CONDUCTORES DE BT'!$D$2:$BM$216,24,FALSE)))))    )),(MID(K31,1,1))+(IF(VLOOKUP(C31,'H2-CONDUCTORES DE BT'!$D$1:$BM$216,48,FALSE)="SI",VLOOKUP(C31,'H2-CONDUCTORES DE BT'!$D$2:$BM$216,50,FALSE),0))),"--")</f>
        <v>--</v>
      </c>
      <c r="AF31" s="1135" t="str">
        <f>IF($AI31="--","--",IF(AND($AZ31&gt;=11,$AZ31&lt;=14,$BA31&gt;=11,$BA31&lt;=14),'H2-CONDUCTORES DE BT'!$L21*'H2-CONDUCTORES DE BT'!$AN21*VLOOKUP($AZ31,CONDUCTORES!$A$9:$G$62,6,FALSE)+'H2-CONDUCTORES DE BT'!$BA21*VLOOKUP($BA31,CONDUCTORES!$A$9:$G$62,4,FALSE),
IF(AND($AZ31&gt;=11,$AZ31&lt;=14,$BA31&gt;=7,$BA31&lt;=10),'H2-CONDUCTORES DE BT'!$L21*'H2-CONDUCTORES DE BT'!$AN21*VLOOKUP($AZ31,CONDUCTORES!$A$9:$G$62,6,FALSE),"--")))</f>
        <v>--</v>
      </c>
      <c r="AG31" s="1139" t="str">
        <f>IF($AI31="--","--",IF(AND($AZ31&gt;=11,$AZ31&lt;=14,$BA31&gt;=7,$BA31&lt;=10),'H2-CONDUCTORES DE BT'!$BA21*VLOOKUP($BA31,CONDUCTORES!$A$9:$G$62,4,FALSE),
IF(AND($AZ31&gt;=7,$AZ31&lt;=10,$BA31&gt;=7,$BA31&lt;=10),'H2-CONDUCTORES DE BT'!$L21*'H2-CONDUCTORES DE BT'!$AN21*VLOOKUP($AZ31,CONDUCTORES!$A$9:$G$62,4,FALSE)+'H2-CONDUCTORES DE BT'!$BA21*VLOOKUP($BA31,CONDUCTORES!$A$9:$G$62,4,FALSE),
IF(AND($AZ31=15,$BA31&gt;=11,$BA31&lt;=14),'H2-CONDUCTORES DE BT'!$L21*'H2-CONDUCTORES DE BT'!$AN21*VLOOKUP($AZ31,CONDUCTORES!$A$9:$G$62,4,FALSE)+'H2-CONDUCTORES DE BT'!$BA21*VLOOKUP($BA31,CONDUCTORES!$A$9:$G$62,4,FALSE),
IF(AND($AZ31&gt;15,$BA31="  "),'H2-CONDUCTORES DE BT'!$L21*'H2-CONDUCTORES DE BT'!$AN21*VLOOKUP($AZ31,CONDUCTORES!$A$9:$G$62,4,FALSE),"--")))))</f>
        <v>--</v>
      </c>
      <c r="AH31" s="1139" t="str">
        <f t="shared" si="18"/>
        <v>--</v>
      </c>
      <c r="AI31" s="1139" t="str">
        <f t="shared" si="21"/>
        <v>--</v>
      </c>
      <c r="AJ31" s="1118" t="str">
        <f t="shared" si="19"/>
        <v>--</v>
      </c>
      <c r="AK31" s="1119" t="str">
        <f t="shared" si="20"/>
        <v>--</v>
      </c>
      <c r="AL31" s="1118" t="str">
        <f>IF(OR($AW31="BANDEJA",$AT31="SI"),IF($AI31="--","--",VLOOKUP(AI31,CONDUITS!$L$25:$Q$36,5,FALSE)*100/(AI31*10*100)),"--")</f>
        <v>--</v>
      </c>
      <c r="AM31" s="1140" t="str">
        <f t="shared" si="35"/>
        <v>--</v>
      </c>
      <c r="AN31" s="1142" t="str">
        <f t="shared" si="36"/>
        <v>--</v>
      </c>
      <c r="AO31" s="901">
        <v>1</v>
      </c>
      <c r="AP31" s="943" t="s">
        <v>648</v>
      </c>
      <c r="AQ31" s="944" t="s">
        <v>624</v>
      </c>
      <c r="AR31" s="902">
        <v>2</v>
      </c>
      <c r="AS31" s="945" t="s">
        <v>1158</v>
      </c>
      <c r="AT31" s="906" t="s">
        <v>605</v>
      </c>
      <c r="AU31" s="946" t="s">
        <v>599</v>
      </c>
      <c r="AV31" s="906" t="s">
        <v>605</v>
      </c>
      <c r="AW31" s="946" t="str">
        <f>+VLOOKUP(C31,'H2-CONDUCTORES DE BT'!$D$2:$BL$155,23,FALSE)</f>
        <v>BANCO DE DUCTOS</v>
      </c>
      <c r="AX31" s="903" t="str">
        <f>+VLOOKUP(C31,'H2-CONDUCTORES DE BT'!$D$2:$BL$155,36,FALSE)</f>
        <v>2/0 AWG</v>
      </c>
      <c r="AY31" s="947" t="str">
        <f>+(IF((VLOOKUP(C31,'H2-CONDUCTORES DE BT'!$D$2:$BL$155,40,FALSE))="Al",IF((VLOOKUP(C31,'H2-CONDUCTORES DE BT'!$D$2:$BL$155,51,FALSE))="No",LOOKUP((VLOOKUP(C31,'H2-CONDUCTORES DE BT'!$D$2:$BL$155,16,FALSE)),CONDUCTORES!$A$111:$A$131,CONDUCTORES!$C$111:$C$131),(VLOOKUP(C31,'H2-CONDUCTORES DE BT'!$D$2:$BL$155,51,FALSE))),IF((VLOOKUP(C31,'H2-CONDUCTORES DE BT'!$D$2:$BL$155,51,FALSE))="No",LOOKUP((VLOOKUP(C31,'H2-CONDUCTORES DE BT'!$D$2:$BL$155,16,FALSE)),CONDUCTORES!$A$111:$A$131,CONDUCTORES!$B$111:$B$131),(VLOOKUP(C31,'H2-CONDUCTORES DE BT'!$D$2:$BL$155,51,FALSE)))))</f>
        <v>4 AWG</v>
      </c>
      <c r="AZ31" s="948">
        <f>VLOOKUP(C31,'H2-CONDUCTORES DE BT'!$D$2:$CL$155,COLUMN('H2-CONDUCTORES DE BT'!BS4),FALSE)</f>
        <v>8</v>
      </c>
      <c r="BA31" s="947">
        <f>IF((VLOOKUP(C31,'H2-CONDUCTORES DE BT'!$D$2:$CL$155,38,FALSE))="Monopolar",VLOOKUP(AY31,CONDUCTORES!$B$9:$X$23,23,FALSE),IF(VLOOKUP(C31,'H2-CONDUCTORES DE BT'!$D$2:$CL$420,48,FALSE)="SI",VLOOKUP(AY31,CONDUCTORES!$B$9:$X$23,23,FALSE),"  "))</f>
        <v>5</v>
      </c>
      <c r="BB31" s="949" t="str">
        <f>IF(OR(AW31="BANDEJA",AT31="Si"),IF(AI31="--","  ",IF(OR(AZ31&lt;=10,BA31&lt;=10),(AG31*100)/(AI31*10),(AF31/(VLOOKUP(AI31,CONDUITS!$A$25:$B$37,2,FALSE)))*100)),"  ")</f>
        <v xml:space="preserve">  </v>
      </c>
      <c r="BC31" s="949" t="str">
        <f>IF(OR(AW31="BANDEJA",AT31="Si"),IF(AI31="--","  ",((AF31)/(VLOOKUP(AI31,CONDUITS!$A$25:$C$37,3,FALSE)))*100),"  ")</f>
        <v xml:space="preserve">  </v>
      </c>
      <c r="BD31" s="950">
        <f>(IF(OR(BA31&lt;&gt;"BANDEJA",AX31="Si"),IF(AB31="EMT",IF(AND(VLOOKUP(C31,'H2-CONDUCTORES DE BT'!$D$2:$CH$321,38,FALSE)="Multiconductor"),(IF(W31&lt;CONDUITS!$X$8,CONDUITS!$A$8,IF(W31&lt;CONDUITS!$X$9,CONDUITS!$A$9,IF(W31&lt;CONDUITS!$X$10,CONDUITS!$A$10,IF(W31&lt;CONDUITS!$X$11,CONDUITS!$A$11,IF(W31&lt;CONDUITS!$X$12,CONDUITS!$A$12,IF(W31&lt;CONDUITS!$X$13,CONDUITS!$A$13,IF(W31&lt;CONDUITS!$X$14,CONDUITS!$A$14,IF(W31&lt;CONDUITS!$X$15,CONDUITS!$A$15,IF(W31&lt;CONDUITS!$X$16,CONDUITS!$A$16,IF(W31&lt;CONDUITS!$X$17,CONDUITS!$A$17,IF(W31&lt;CONDUITS!$X$18,CONDUITS!$A$18,IF(W31&lt;CONDUITS!$X$19,CONDUITS!$A$19,CONDUITS!$A$17))))))))))))),(IF(W31&lt;CONDUITS!$F$8,CONDUITS!$A$8,IF(W31&lt;CONDUITS!$F$9,CONDUITS!$A$9,IF(W31&lt;CONDUITS!$F$10,CONDUITS!$A$10,IF(W31&lt;CONDUITS!$F$11,CONDUITS!$A$11,IF(W31&lt;CONDUITS!$F$12,CONDUITS!$A$12,IF(W31&lt;CONDUITS!$F$13,CONDUITS!$A$13,IF(W31&lt;CONDUITS!$F$14,CONDUITS!$A$14,IF(W31&lt;CONDUITS!$F$15,CONDUITS!$A$15,IF(W31&lt;CONDUITS!$F$16,CONDUITS!$A$16,IF(W31&lt;CONDUITS!$F$17,CONDUITS!$A$17,IF(W31&lt;CONDUITS!$F$18,CONDUITS!$A$18,IF(W31&lt;CONDUITS!$F$19,CONDUITS!$A$19,CONDUITS!$A$17)))))))))))))),           IF(AB31="IMC",IF(AND(VLOOKUP(C31,'H2-CONDUCTORES DE BT'!$D$2:$CH$321,38,FALSE)="Multiconductor"),(IF(W31&lt;CONDUITS!$Y$8,CONDUITS!$A$8,IF(W31&lt;CONDUITS!$Y$9,CONDUITS!$A$9,IF(W31&lt;CONDUITS!$Y$10,CONDUITS!$A$10,IF(W31&lt;CONDUITS!$Y$11,CONDUITS!$A$11,IF(W31&lt;CONDUITS!$Y$12,CONDUITS!$A$12,IF(W31&lt;CONDUITS!$Y$13,CONDUITS!$A$13,IF(W31&lt;CONDUITS!$Y$14,CONDUITS!$A$14,IF(W31&lt;CONDUITS!$Y$15,CONDUITS!$A$15,IF(W31&lt;CONDUITS!$Y$16,CONDUITS!$A$16,IF(W31&lt;CONDUITS!$Y$17,CONDUITS!$A$17,IF(W31&lt;CONDUITS!$Y$18,CONDUITS!$A$18,IF(W31&lt;CONDUITS!$Y$19,CONDUITS!$A$19,CONDUITS!$A$17))))))))))))),(IF(W31&lt;CONDUITS!$K$8,CONDUITS!$A$8,IF(W31&lt;CONDUITS!$K$9,CONDUITS!$A$9,IF(W31&lt;CONDUITS!$K$10,CONDUITS!$A$10,IF(W31&lt;CONDUITS!$K$11,CONDUITS!$A$11,IF(W31&lt;CONDUITS!$K$12,CONDUITS!$A$12,IF(W31&lt;CONDUITS!$K$13,CONDUITS!$A$13,IF(W31&lt;CONDUITS!$K$14,CONDUITS!$A$14,IF(W31&lt;CONDUITS!$K$15,CONDUITS!$A$15,IF(W31&lt;CONDUITS!$K$16,CONDUITS!$A$16,IF(W31&lt;CONDUITS!$K$17,CONDUITS!$A$17,IF(W31&lt;CONDUITS!$K$18,CONDUITS!$A$18,IF(W31&lt;CONDUITS!$K$19,CONDUITS!$A$19,CONDUITS!$A$17)))))))))))))),           IF(AB31="RMC",IF(AND(VLOOKUP(C31,'H2-CONDUCTORES DE BT'!$D$2:$CH$321,38,FALSE)="Multiconductor"),(IF(W31&lt;CONDUITS!$Z$8,CONDUITS!$A$8,IF(W31&lt;CONDUITS!$Z$9,CONDUITS!$A$9,IF(W31&lt;CONDUITS!$Z$10,CONDUITS!$A$10,IF(W31&lt;CONDUITS!$Z$11,CONDUITS!$A$11,IF(W31&lt;CONDUITS!$Z$12,CONDUITS!$A$12,IF(W31&lt;CONDUITS!$Z$13,CONDUITS!$A$13,IF(W31&lt;CONDUITS!$Z$14,CONDUITS!$A$14,IF(W31&lt;CONDUITS!$Z$15,CONDUITS!$A$15,IF(W31&lt;CONDUITS!$Z$16,CONDUITS!$A$16,IF(W31&lt;CONDUITS!$Z$17,CONDUITS!$A$17,IF(W31&lt;CONDUITS!$Z$18,CONDUITS!$A$18,IF(W31&lt;CONDUITS!$Z$19,CONDUITS!$A$19,CONDUITS!$A$17))))))))))))),(IF(W31&lt;CONDUITS!$P$8,CONDUITS!$A$8,IF(W31&lt;CONDUITS!$P$9,CONDUITS!$A$9,IF(W31&lt;CONDUITS!$P$10,CONDUITS!$A$10,IF(W31&lt;CONDUITS!$P$11,CONDUITS!$A$11,IF(W31&lt;CONDUITS!$P$12,CONDUITS!$A$12,IF(W31&lt;CONDUITS!$P$13,CONDUITS!$A$13,IF(W31&lt;CONDUITS!$P$14,CONDUITS!$A$14,IF(W31&lt;CONDUITS!$P$15,CONDUITS!$A$15,IF(W31&lt;CONDUITS!$P$16,CONDUITS!$A$16,IF(W31&lt;CONDUITS!$P$17,CONDUITS!$A$17,IF(W31&lt;CONDUITS!$P$18,CONDUITS!$A$18,IF(W31&lt;CONDUITS!$P$19,CONDUITS!$A$19,CONDUITS!$A$18)))))))))))))),IF(OR(AB31="PVC",AB31="CONDUIT FLEXIBLE"),IF(AND(VLOOKUP(C31,'H2-CONDUCTORES DE BT'!$D$2:$CH$321,38,FALSE)="Multiconductor"),(IF(W31&lt;CONDUITS!$AA$8,CONDUITS!$A$8,IF(W31&lt;CONDUITS!$AA$9,CONDUITS!$A$9,IF(W31&lt;CONDUITS!$AA$10,CONDUITS!$A$10,IF(W31&lt;CONDUITS!$AA$11,CONDUITS!$A$11,IF(W31&lt;CONDUITS!$AA$12,CONDUITS!$A$12,IF(W31&lt;CONDUITS!$AA$13,CONDUITS!$A$13,IF(W31&lt;CONDUITS!$AA$14,CONDUITS!$A$14,IF(W31&lt;CONDUITS!$AA$15,CONDUITS!$A$15,IF(W31&lt;CONDUITS!$AA$16,CONDUITS!$A$16,IF(W31&lt;CONDUITS!$AA$17,CONDUITS!$A$17,IF(W31&lt;CONDUITS!$AA$18,CONDUITS!$A$18,IF(W31&lt;CONDUITS!$AA$19,CONDUITS!$A$19,CONDUITS!$A$17))))))))))))),(IF(W31&lt;CONDUITS!$U$8,CONDUITS!$A$8,IF(W31&lt;CONDUITS!$U$9,CONDUITS!$A$9,IF(W31&lt;CONDUITS!$U$10,CONDUITS!$A$10,IF(W31&lt;CONDUITS!$U$11,CONDUITS!$A$11,IF(W31&lt;CONDUITS!$U$12,CONDUITS!$A$12,IF(W31&lt;CONDUITS!$U$13,CONDUITS!$A$13,IF(W31&lt;CONDUITS!$U$14,CONDUITS!$A$14,IF(W31&lt;CONDUITS!$U$15,CONDUITS!$A$15,IF(W31&lt;CONDUITS!$U$16,CONDUITS!$A$16,IF(W31&lt;CONDUITS!$U$17,CONDUITS!$A$17,IF(W31&lt;CONDUITS!$U$18,CONDUITS!$A$18,IF(W31&lt;CONDUITS!$U$19,CONDUITS!$A$19,CONDUITS!$A$18)))))))))))))),"NO")))),"  "))</f>
        <v>8</v>
      </c>
      <c r="BE31" s="937">
        <f t="shared" si="37"/>
        <v>2</v>
      </c>
      <c r="BF31" s="953" t="str">
        <f>IF(OR(AW31="BANDEJA",AT31="SI"),IF((VLOOKUP(C31,'H2-CONDUCTORES DE BT'!$D$2:$AW$216,38,FALSE))="Monopolar",(IF(VLOOKUP(C31,'H2-CONDUCTORES DE BT'!$D$1:$AY$216,48,FALSE)="SI",((((VLOOKUP(C31,'H2-CONDUCTORES DE BT'!$D$2:$BM$453,37,FALSE))*(VLOOKUP(C31,'H2-CONDUCTORES DE BT'!$D$2:$BM$473,24,FALSE))  )*(LOOKUP(AZ31,CONDUCTORES!$A$9:$A$62,CONDUCTORES!$D$9:$D$62)))+(IF(AW31="BANDEJA",0,VLOOKUP(C31,'H2-CONDUCTORES DE BT'!$D$2:$BM$473,37,FALSE))*(LOOKUP(BA31,CONDUCTORES!$A$9:$A$62,CONDUCTORES!$D$9:$D$62)))+(IF(VLOOKUP(C31,'H2-CONDUCTORES DE BT'!$D$2:$BM$473,53,FALSE)="NO",0,((VLOOKUP(C31,'H2-CONDUCTORES DE BT'!$D$2:$BM$473,37,FALSE))*(LOOKUP(BI31,CONDUCTORES!$A$9:$A$62,CONDUCTORES!$D$9:$D$62)))))),(   IF(AND(AW31="BANDEJA",VLOOKUP(C31,'H2-CONDUCTORES DE BT'!$D$1:$AY$216,47,FALSE)="NO"),VLOOKUP(C31,'H2-CONDUCTORES DE BT'!$D$2:$BM$473,24,FALSE), ((VLOOKUP(C31,'H2-CONDUCTORES DE BT'!$D$2:$BM$473,37,FALSE))*(VLOOKUP(C31,'H2-CONDUCTORES DE BT'!$D$2:$BM$473,24,FALSE))   ))  *(LOOKUP(AZ31,CONDUCTORES!$A$9:$A$62,CONDUCTORES!$D$9:$D$62))))),    (VLOOKUP(C31,'H2-CONDUCTORES DE BT'!$D$2:$BM$473,37,FALSE))*(LOOKUP(AZ31,CONDUCTORES!$A$9:$A$62,CONDUCTORES!$D$9:$D$62))+(IF(VLOOKUP(C31,'H2-CONDUCTORES DE BT'!$D$1:$AY$216,48,FALSE)="SI",((VLOOKUP(C31,'H2-CONDUCTORES DE BT'!$D$2:$BM$473,37,FALSE))*(LOOKUP(BA31,CONDUCTORES!$A$9:$A$62,CONDUCTORES!$D$9:$D$62))),))),"--")</f>
        <v>--</v>
      </c>
      <c r="BG31" s="951"/>
      <c r="BH31" s="952" t="str">
        <f>IF(VLOOKUP(C31,'H2-CONDUCTORES DE BT'!$D$2:$BL$420,53,FALSE)="NO","  ",VLOOKUP(C31,'H2-CONDUCTORES DE BT'!$D$2:$BL$420,53,FALSE))</f>
        <v xml:space="preserve">  </v>
      </c>
      <c r="BI31" s="1318" t="str">
        <f>+IF(BH31="  ","  ",VLOOKUP(BH31,CONDUCTORES!$B$9:$X$23,23,FALSE))</f>
        <v xml:space="preserve">  </v>
      </c>
      <c r="BJ31" s="464" t="str">
        <f>IF(VLOOKUP(C31,'H2-CONDUCTORES DE BT'!$D$2:$CH$321,38,FALSE)="Multiconductor","MULTI","MONO")</f>
        <v>MONO</v>
      </c>
      <c r="BK31" s="1322"/>
      <c r="BL31" s="1322">
        <v>10</v>
      </c>
      <c r="BM31" s="1322">
        <f>+(LOOKUP(AZ31,CONDUCTORES!$A$9:$A$62,CONDUCTORES!$D$9:$D$62))</f>
        <v>13.41</v>
      </c>
      <c r="BN31" s="1322">
        <f t="shared" si="38"/>
        <v>134.1</v>
      </c>
      <c r="BO31" s="1322"/>
      <c r="BP31" s="1322">
        <f>+((((5)*(   IF(AS31="Horizontal","ss",IF(OR(VLOOKUP(C31,'H2-CONDUCTORES DE BT'!$D$2:$BM$473,24,FALSE)=3,VLOOKUP(C31,'H2-CONDUCTORES DE BT'!$D$2:$BM$473,24,FALSE)=6,VLOOKUP(C31,'H2-CONDUCTORES DE BT'!$D$2:$BM$473,24,FALSE)=9,VLOOKUP(C31,'H2-CONDUCTORES DE BT'!$D$2:$BM$473,24,FALSE)=12,VLOOKUP(C31,'H2-CONDUCTORES DE BT'!$D$2:$BM$473,24,FALSE)=15,VLOOKUP(C31,'H2-CONDUCTORES DE BT'!$D$2:$BM$473,24,FALSE)=18),((VLOOKUP(C31,'H2-CONDUCTORES DE BT'!$D$2:$BM$473,24,FALSE))-((15)/3)),"2") )   )  )*(29.41))+(0))</f>
        <v>147.05000000000001</v>
      </c>
      <c r="BQ31" s="1322"/>
      <c r="BR31" s="1329" t="str">
        <f>IF(AI31="--","  ",IF(AZ31&lt;=10,('H2-CONDUCTORES DE BT'!$AA21*VLOOKUP(AZ31,CONDUCTORES!$A$9:$G$62,4,FALSE)*100)/(AI31*10),('H2-CONDUCTORES DE BT'!AA21*VLOOKUP(AZ31,CONDUCTORES!$A$9:$G$62,6,FALSE)*100)/VLOOKUP(AI31,CONDUITS!$L$25:$Q$36,4,FALSE)))</f>
        <v xml:space="preserve">  </v>
      </c>
      <c r="BS31" s="1329" t="str">
        <f>IF(AI31="--","  ",IF(OR(AZ31&lt;=10,BA31&lt;=10),(VLOOKUP(AI31,CONDUITS!$L$25:$Q$36,5,FALSE)-(28*'H2-CONDUCTORES DE BT'!$BA21*VLOOKUP(BA31,CONDUCTORES!$A$9:$G$62,4,FALSE)))*100/(AI31*10*100),VLOOKUP(AI31,CONDUITS!$L$25:$Q$36,5,FALSE)*100/(AI31*10*100)))</f>
        <v xml:space="preserve">  </v>
      </c>
      <c r="BT31" s="1322"/>
      <c r="BU31" s="1322"/>
      <c r="BV31" s="1322" t="str">
        <f>IF($AI31="--","  ",IF(AND($AZ31&lt;=10,$BA31&lt;=10),'H2-CONDUCTORES DE BT'!$AA21*VLOOKUP($AZ31,CONDUCTORES!$A$9:$G$62,4,FALSE),""))</f>
        <v xml:space="preserve">  </v>
      </c>
      <c r="BW31" s="1322" t="str">
        <f>+IF($AI31="--","  ",IF(AND($AZ31&lt;=10,$BA31&lt;=10),'H2-CONDUCTORES DE BT'!$BA21*VLOOKUP($BA31,CONDUCTORES!$A$9:$G$62,4,FALSE),""))</f>
        <v xml:space="preserve">  </v>
      </c>
      <c r="BX31" s="1322" t="str">
        <f t="shared" si="23"/>
        <v xml:space="preserve">  </v>
      </c>
      <c r="BY31" s="1322" t="str">
        <f t="shared" si="24"/>
        <v xml:space="preserve">  </v>
      </c>
      <c r="BZ31" s="1322" t="str">
        <f>IF($AI31="--","  ",IF(AND($AZ31&gt;10,$BA31&lt;=10),'H2-CONDUCTORES DE BT'!$AA21*VLOOKUP($AZ31,CONDUCTORES!$A$9:$G$62,6,FALSE),""))</f>
        <v xml:space="preserve">  </v>
      </c>
      <c r="CA31" s="1322" t="str">
        <f>IF($AI31="--","  ",IF(AND($AZ31&gt;10,$BA31&lt;=10),'H2-CONDUCTORES DE BT'!$BA21*VLOOKUP(BA31,CONDUCTORES!$A$9:$G$62,4,FALSE),""))</f>
        <v xml:space="preserve">  </v>
      </c>
      <c r="CB31" s="1322" t="str">
        <f t="shared" si="25"/>
        <v xml:space="preserve">  </v>
      </c>
      <c r="CC31" s="1322" t="str">
        <f>IF($AI31="--","  ",IF(AND($AZ31&gt;10,$BA31&lt;=10),VLOOKUP($AI31,CONDUITS!$L$25:$Q$36,4,FALSE),""))</f>
        <v xml:space="preserve">  </v>
      </c>
      <c r="CD31" s="1322" t="str">
        <f>IF($AI31="--","  ",IF(AND($AZ31&gt;10,$BA31&lt;=10),VLOOKUP($AI31,CONDUITS!$L$25:$Q$36,4,FALSE),""))</f>
        <v xml:space="preserve">  </v>
      </c>
      <c r="CE31" s="1329" t="str">
        <f t="shared" si="26"/>
        <v xml:space="preserve">  </v>
      </c>
      <c r="CF31" s="1322" t="str">
        <f>IF($AI31="--","  ",IF(AND($AZ31&gt;10,$BA31&gt;10),'H2-CONDUCTORES DE BT'!$AA21*VLOOKUP($AZ31,CONDUCTORES!$A$9:$G$62,6,FALSE),""))</f>
        <v xml:space="preserve">  </v>
      </c>
      <c r="CG31" s="1322">
        <f>IF(OR($AI31="--",$BA31="  "),0,IF(AND($AZ31&gt;10,$BA31&gt;10),'H2-CONDUCTORES DE BT'!$BA21*VLOOKUP($BA31,CONDUCTORES!$A$9:$G$62,4,FALSE),""))</f>
        <v>0</v>
      </c>
      <c r="CH31" s="1322" t="str">
        <f t="shared" si="27"/>
        <v xml:space="preserve">  </v>
      </c>
      <c r="CI31" s="1322" t="str">
        <f>IF($AI31="--","  ",IF(AND($AZ31&gt;10,$BA31&gt;10),VLOOKUP($AI31,CONDUITS!$L$25:$Q$36,5,FALSE),""))</f>
        <v xml:space="preserve">  </v>
      </c>
      <c r="CJ31" s="1329" t="str">
        <f t="shared" si="28"/>
        <v xml:space="preserve">  </v>
      </c>
      <c r="CK31" s="1329" t="str">
        <f t="shared" si="29"/>
        <v xml:space="preserve">  </v>
      </c>
    </row>
    <row r="32" spans="1:89" s="580" customFormat="1" ht="38.4" customHeight="1" x14ac:dyDescent="0.25">
      <c r="A32" s="1185">
        <f>IF(OR(BE32=0,BE32=1),0,COUNTIF(BE$26:BE32,BE32))</f>
        <v>5</v>
      </c>
      <c r="B32" s="1144" t="str">
        <f>+_xlfn.CONCAT($B$27,".",SUBTOTAL(103,$AO$28:AO32))</f>
        <v>4.2.5</v>
      </c>
      <c r="C32" s="1836" t="str">
        <f>+'H2-CONDUCTORES DE BT'!D22</f>
        <v>VFD-DT-58</v>
      </c>
      <c r="D32" s="1837"/>
      <c r="E32" s="1838"/>
      <c r="F32" s="1823" t="str">
        <f>+VLOOKUP(C32,'H2-CONDUCTORES DE BT'!$D$2:$BL$155,2,FALSE)</f>
        <v>VARIADOR DE FRECUENCIA (PROYECTADO)</v>
      </c>
      <c r="G32" s="1824"/>
      <c r="H32" s="1824"/>
      <c r="I32" s="1824"/>
      <c r="J32" s="1825"/>
      <c r="K32" s="1789" t="str">
        <f>+VLOOKUP(C32,'H2-CONDUCTORES DE BT'!$D$2:$BL$155,20,FALSE)</f>
        <v>1x[3x(1x1/0 AWG)] + 1x(1Gx4 AWG)</v>
      </c>
      <c r="L32" s="1789"/>
      <c r="M32" s="1789"/>
      <c r="N32" s="1789"/>
      <c r="O32" s="1789"/>
      <c r="P32" s="1816" t="str">
        <f>+VLOOKUP(C32,'H2-CONDUCTORES DE BT'!$D$2:$BL$155,19,FALSE)</f>
        <v>ALUMINIO, XHHW-2, 600 V, 90°C, Monopolar</v>
      </c>
      <c r="Q32" s="1817"/>
      <c r="R32" s="1817"/>
      <c r="S32" s="1817"/>
      <c r="T32" s="1817"/>
      <c r="U32" s="1818"/>
      <c r="V32" s="1132">
        <f>+VLOOKUP(C32,'H2-CONDUCTORES DE BT'!$D$2:$BM$166,4,FALSE)</f>
        <v>5</v>
      </c>
      <c r="W32" s="1133">
        <f t="shared" si="30"/>
        <v>405.62</v>
      </c>
      <c r="X32" s="1133">
        <f>IF(OR(AW32&lt;&gt;"BANDEJA",AT32="Si"),IF(VLOOKUP(C32,'H2-CONDUCTORES DE BT'!$D$2:$BM$166,46,FALSE)="Motor",LOOKUP(AZ32,CONDUCTORES!$A$9:$A$62,CONDUCTORES!$AA$9:$AA$62),IF((VLOOKUP(C32,'H2-CONDUCTORES DE BT'!$D$2:$BM$166,38,FALSE))="Monopolar",IF(AND(VLOOKUP(C32,'H2-CONDUCTORES DE BT'!$D$2:$BM$166,48,FALSE)="SI",VLOOKUP(C32,'H2-CONDUCTORES DE BT'!$D$2:$BM$450,53,FALSE)="No"), (((3)*(LOOKUP(AZ32,CONDUCTORES!$A$9:$A$62,CONDUCTORES!$F$9:$F$62)))+((IF((VLOOKUP(C32,'H2-CONDUCTORES DE BT'!$D$2:$BM$166,51,FALSE))&lt;&gt;"NO",VLOOKUP(C32,'H2-CONDUCTORES DE BT'!$D$2:$BM$166,50,FALSE),1))*(LOOKUP(BA32,CONDUCTORES!$A$9:$A$62,CONDUCTORES!$F$9:$F$62)))),IF(AND(VLOOKUP(C32,'H2-CONDUCTORES DE BT'!$D$2:$BM$166,48,FALSE)="SI",VLOOKUP(C32,'H2-CONDUCTORES DE BT'!$D$2:$BM$450,53,FALSE)&lt;&gt;"No"),  (((3)*(LOOKUP(AZ32,CONDUCTORES!$A$9:$A$62,CONDUCTORES!$F$9:$F$62)))+((IF((VLOOKUP(C32,'H2-CONDUCTORES DE BT'!$D$2:$BM$166,51,FALSE))&lt;&gt;"NO",VLOOKUP(C32,'H2-CONDUCTORES DE BT'!$D$2:$BM$166,50,FALSE),1))*(LOOKUP(BA32,CONDUCTORES!$A$9:$A$62,CONDUCTORES!$F$9:$F$62)))+((VLOOKUP(C32,'H2-CONDUCTORES DE BT'!$D$2:$BM$450,52,FALSE))*(LOOKUP(BI32,CONDUCTORES!$A$9:$A$62,CONDUCTORES!$F$9:$F$62)))),IF(AND(VLOOKUP(C32,'H2-CONDUCTORES DE BT'!$D$2:$BM$166,48,FALSE)="NO",VLOOKUP(C32,'H2-CONDUCTORES DE BT'!$D$2:$BM$450,53,FALSE)&lt;&gt;"No"),((3)*(LOOKUP(AZ32,CONDUCTORES!$A$9:$A$62,CONDUCTORES!$F$9:$F$62)))+((VLOOKUP(C32,'H2-CONDUCTORES DE BT'!$D$2:$BM$450,52,FALSE))*(LOOKUP(BI32,CONDUCTORES!$A$9:$A$62,CONDUCTORES!$F$9:$F$62))),((3)*(LOOKUP(AZ32,CONDUCTORES!$A$9:$A$62,CONDUCTORES!$F$9:$F$62)))))),(LOOKUP(AZ32,CONDUCTORES!$A$9:$A$62,CONDUCTORES!$F$9:$F$62)))),"--")</f>
        <v>405.62</v>
      </c>
      <c r="Y32" s="1133">
        <f t="shared" si="31"/>
        <v>405.62</v>
      </c>
      <c r="Z32" s="1134" t="str">
        <f>IF(OR(AW32&lt;&gt;"BANDEJA",AT32="Si"),IF(AB32="--","--",VLOOKUP(BD32,CONDUITS!$A$8:$C$19,3,FALSE)),"--")</f>
        <v>2"</v>
      </c>
      <c r="AA32" s="1135">
        <f t="shared" si="32"/>
        <v>1</v>
      </c>
      <c r="AB32" s="1136" t="str">
        <f t="shared" si="33"/>
        <v>PVC</v>
      </c>
      <c r="AC32" s="1115">
        <f>IF(MOD(MID(K32,1,1),IF(OR(AW32="BANDEJA",AW32="AÉREO"),1,AA32))=0,IF(OR(AW32&lt;&gt;"BANDEJA",AT32="Si"),IF(AB32="EMT",(W32/VLOOKUP(BD32,CONDUITS!$A$8:$W$19,7)*100),IF(AB32="IMC",(W32/VLOOKUP(BD32,CONDUITS!$A$8:$W$19,12)*100),IF(AB32="RMC",(W32/VLOOKUP(BD32,CONDUITS!$A$8:$W$19,17)*100),IF(OR(AB32="PVC",AB32="CONDUIT FLEXIBLE"),(W32/VLOOKUP(BD32,CONDUITS!$A$8:$W$19,22)*100),"--")))),"--"),"NO")</f>
        <v>15.918037302180958</v>
      </c>
      <c r="AD32" s="1138" t="str">
        <f t="shared" si="34"/>
        <v>CP-20-VFD-DT-58</v>
      </c>
      <c r="AE32" s="1135" t="str">
        <f>IF(OR(AW32="BANDEJA",AT32="SI"),IF((VLOOKUP(C32,'H2-CONDUCTORES DE BT'!$D$2:$BM$216,38,FALSE))="Monopolar",(IF(VLOOKUP(C32,'H2-CONDUCTORES DE BT'!$D$1:$BM$216,48,FALSE)="SI",(((VLOOKUP(C32,'H2-CONDUCTORES DE BT'!$D$2:$BM$216,37,FALSE))*(VLOOKUP(C32,'H2-CONDUCTORES DE BT'!$D$2:$BM$216,9,FALSE)))+(IF(AW32="BANDEJA",1*(IF(VLOOKUP(C32,'H2-CONDUCTORES DE BT'!$D$2:$BM$216,51,FALSE)="NO",1,VLOOKUP(C32,'H2-CONDUCTORES DE BT'!$D$2:$BM$216,50,FALSE))),((AO32)*(IF(VLOOKUP(C32,'H2-CONDUCTORES DE BT'!$D$2:$BM$216,51,FALSE)="NO",1,VLOOKUP(C32,'H2-CONDUCTORES DE BT'!$D$2:$BM$216,50,FALSE))))))+(IF(VLOOKUP(C32,'H2-CONDUCTORES DE BT'!$D$2:$BM$216,53,FALSE)="NO",0,VLOOKUP(C32,'H2-CONDUCTORES DE BT'!$D$2:$BM$216,37,FALSE))*(VLOOKUP(C32,'H2-CONDUCTORES DE BT'!$D$2:$BM$216,52,FALSE)))),   IF(VLOOKUP(C32,'H2-CONDUCTORES DE BT'!$D$1:$BM$216,48,FALSE)="NO",        (((VLOOKUP(C32,'H2-CONDUCTORES DE BT'!$D$2:$BM$216,37,FALSE))*(VLOOKUP(C32,'H2-CONDUCTORES DE BT'!$D$2:$BM$216,9,FALSE)))+(IF(VLOOKUP(C32,'H2-CONDUCTORES DE BT'!$D$2:$BM$216,53,FALSE)="NO",0,VLOOKUP(C32,'H2-CONDUCTORES DE BT'!$D$2:$BM$216,37,FALSE))*(VLOOKUP(C32,'H2-CONDUCTORES DE BT'!$D$2:$BM$216,52,FALSE)))), IF(AND(AW32="BANDEJA",VLOOKUP(C32,'H2-CONDUCTORES DE BT'!$D$1:$BM$216,48,FALSE)="NO"),VLOOKUP(C32,'H2-CONDUCTORES DE BT'!$D$2:$BM$216,24,FALSE),((VLOOKUP(C32,'H2-CONDUCTORES DE BT'!$D$2:$BM$216,37,FALSE))*(VLOOKUP(C32,'H2-CONDUCTORES DE BT'!$D$2:$BM$216,24,FALSE)))))    )),(MID(K32,1,1))+(IF(VLOOKUP(C32,'H2-CONDUCTORES DE BT'!$D$1:$BM$216,48,FALSE)="SI",VLOOKUP(C32,'H2-CONDUCTORES DE BT'!$D$2:$BM$216,50,FALSE),0))),"--")</f>
        <v>--</v>
      </c>
      <c r="AF32" s="1135" t="str">
        <f>IF($AI32="--","--",IF(AND($AZ32&gt;=11,$AZ32&lt;=14,$BA32&gt;=11,$BA32&lt;=14),'H2-CONDUCTORES DE BT'!$L22*'H2-CONDUCTORES DE BT'!$AN22*VLOOKUP($AZ32,CONDUCTORES!$A$9:$G$62,6,FALSE)+'H2-CONDUCTORES DE BT'!$BA22*VLOOKUP($BA32,CONDUCTORES!$A$9:$G$62,4,FALSE),
IF(AND($AZ32&gt;=11,$AZ32&lt;=14,$BA32&gt;=7,$BA32&lt;=10),'H2-CONDUCTORES DE BT'!$L22*'H2-CONDUCTORES DE BT'!$AN22*VLOOKUP($AZ32,CONDUCTORES!$A$9:$G$62,6,FALSE),"--")))</f>
        <v>--</v>
      </c>
      <c r="AG32" s="1139" t="str">
        <f>IF($AI32="--","--",IF(AND($AZ32&gt;=11,$AZ32&lt;=14,$BA32&gt;=7,$BA32&lt;=10),'H2-CONDUCTORES DE BT'!$BA22*VLOOKUP($BA32,CONDUCTORES!$A$9:$G$62,4,FALSE),
IF(AND($AZ32&gt;=7,$AZ32&lt;=10,$BA32&gt;=7,$BA32&lt;=10),'H2-CONDUCTORES DE BT'!$L22*'H2-CONDUCTORES DE BT'!$AN22*VLOOKUP($AZ32,CONDUCTORES!$A$9:$G$62,4,FALSE)+'H2-CONDUCTORES DE BT'!$BA22*VLOOKUP($BA32,CONDUCTORES!$A$9:$G$62,4,FALSE),
IF(AND($AZ32=15,$BA32&gt;=11,$BA32&lt;=14),'H2-CONDUCTORES DE BT'!$L22*'H2-CONDUCTORES DE BT'!$AN22*VLOOKUP($AZ32,CONDUCTORES!$A$9:$G$62,4,FALSE)+'H2-CONDUCTORES DE BT'!$BA22*VLOOKUP($BA32,CONDUCTORES!$A$9:$G$62,4,FALSE),
IF(AND($AZ32&gt;15,$BA32="  "),'H2-CONDUCTORES DE BT'!$L22*'H2-CONDUCTORES DE BT'!$AN22*VLOOKUP($AZ32,CONDUCTORES!$A$9:$G$62,4,FALSE),"--")))))</f>
        <v>--</v>
      </c>
      <c r="AH32" s="1139" t="str">
        <f t="shared" si="18"/>
        <v>--</v>
      </c>
      <c r="AI32" s="1139" t="str">
        <f t="shared" si="21"/>
        <v>--</v>
      </c>
      <c r="AJ32" s="1118" t="str">
        <f t="shared" si="19"/>
        <v>--</v>
      </c>
      <c r="AK32" s="1119" t="str">
        <f t="shared" si="20"/>
        <v>--</v>
      </c>
      <c r="AL32" s="1118" t="str">
        <f>IF(OR($AW32="BANDEJA",$AT32="SI"),IF($AI32="--","--",VLOOKUP(AI32,CONDUITS!$L$25:$Q$36,5,FALSE)*100/(AI32*10*100)),"--")</f>
        <v>--</v>
      </c>
      <c r="AM32" s="1140" t="str">
        <f t="shared" si="35"/>
        <v>--</v>
      </c>
      <c r="AN32" s="1142" t="str">
        <f t="shared" si="36"/>
        <v>--</v>
      </c>
      <c r="AO32" s="901">
        <v>1</v>
      </c>
      <c r="AP32" s="943" t="s">
        <v>648</v>
      </c>
      <c r="AQ32" s="944">
        <v>60</v>
      </c>
      <c r="AR32" s="902">
        <v>2</v>
      </c>
      <c r="AS32" s="945" t="s">
        <v>1158</v>
      </c>
      <c r="AT32" s="906" t="s">
        <v>605</v>
      </c>
      <c r="AU32" s="946" t="s">
        <v>599</v>
      </c>
      <c r="AV32" s="906" t="s">
        <v>605</v>
      </c>
      <c r="AW32" s="946" t="str">
        <f>+VLOOKUP(C32,'H2-CONDUCTORES DE BT'!$D$2:$BL$155,23,FALSE)</f>
        <v>BANCO DE DUCTOS</v>
      </c>
      <c r="AX32" s="903" t="str">
        <f>+VLOOKUP(C32,'H2-CONDUCTORES DE BT'!$D$2:$BL$155,36,FALSE)</f>
        <v>1/0 AWG</v>
      </c>
      <c r="AY32" s="947" t="str">
        <f>+(IF((VLOOKUP(C32,'H2-CONDUCTORES DE BT'!$D$2:$BL$155,40,FALSE))="Al",IF((VLOOKUP(C32,'H2-CONDUCTORES DE BT'!$D$2:$BL$155,51,FALSE))="No",LOOKUP((VLOOKUP(C32,'H2-CONDUCTORES DE BT'!$D$2:$BL$155,16,FALSE)),CONDUCTORES!$A$111:$A$131,CONDUCTORES!$C$111:$C$131),(VLOOKUP(C32,'H2-CONDUCTORES DE BT'!$D$2:$BL$155,51,FALSE))),IF((VLOOKUP(C32,'H2-CONDUCTORES DE BT'!$D$2:$BL$155,51,FALSE))="No",LOOKUP((VLOOKUP(C32,'H2-CONDUCTORES DE BT'!$D$2:$BL$155,16,FALSE)),CONDUCTORES!$A$111:$A$131,CONDUCTORES!$B$111:$B$131),(VLOOKUP(C32,'H2-CONDUCTORES DE BT'!$D$2:$BL$155,51,FALSE)))))</f>
        <v>4 AWG</v>
      </c>
      <c r="AZ32" s="948">
        <f>VLOOKUP(C32,'H2-CONDUCTORES DE BT'!$D$2:$CL$155,COLUMN('H2-CONDUCTORES DE BT'!BS5),FALSE)</f>
        <v>7</v>
      </c>
      <c r="BA32" s="947">
        <f>IF((VLOOKUP(C32,'H2-CONDUCTORES DE BT'!$D$2:$CL$155,38,FALSE))="Monopolar",VLOOKUP(AY32,CONDUCTORES!$B$9:$X$23,23,FALSE),IF(VLOOKUP(C32,'H2-CONDUCTORES DE BT'!$D$2:$CL$420,48,FALSE)="SI",VLOOKUP(AY32,CONDUCTORES!$B$9:$X$23,23,FALSE),"  "))</f>
        <v>5</v>
      </c>
      <c r="BB32" s="949" t="str">
        <f>IF(OR(AW32="BANDEJA",AT32="Si"),IF(AI32="--","  ",IF(OR(AZ32&lt;=10,BA32&lt;=10),(AG32*100)/(AI32*10),(AF32/(VLOOKUP(AI32,CONDUITS!$A$25:$B$37,2,FALSE)))*100)),"  ")</f>
        <v xml:space="preserve">  </v>
      </c>
      <c r="BC32" s="949" t="str">
        <f>IF(OR(AW32="BANDEJA",AT32="Si"),IF(AI32="--","  ",((AF32)/(VLOOKUP(AI32,CONDUITS!$A$25:$C$37,3,FALSE)))*100),"  ")</f>
        <v xml:space="preserve">  </v>
      </c>
      <c r="BD32" s="950">
        <f>(IF(OR(BA32&lt;&gt;"BANDEJA",AX32="Si"),IF(AB32="EMT",IF(AND(VLOOKUP(C32,'H2-CONDUCTORES DE BT'!$D$2:$CH$321,38,FALSE)="Multiconductor"),(IF(W32&lt;CONDUITS!$X$8,CONDUITS!$A$8,IF(W32&lt;CONDUITS!$X$9,CONDUITS!$A$9,IF(W32&lt;CONDUITS!$X$10,CONDUITS!$A$10,IF(W32&lt;CONDUITS!$X$11,CONDUITS!$A$11,IF(W32&lt;CONDUITS!$X$12,CONDUITS!$A$12,IF(W32&lt;CONDUITS!$X$13,CONDUITS!$A$13,IF(W32&lt;CONDUITS!$X$14,CONDUITS!$A$14,IF(W32&lt;CONDUITS!$X$15,CONDUITS!$A$15,IF(W32&lt;CONDUITS!$X$16,CONDUITS!$A$16,IF(W32&lt;CONDUITS!$X$17,CONDUITS!$A$17,IF(W32&lt;CONDUITS!$X$18,CONDUITS!$A$18,IF(W32&lt;CONDUITS!$X$19,CONDUITS!$A$19,CONDUITS!$A$17))))))))))))),(IF(W32&lt;CONDUITS!$F$8,CONDUITS!$A$8,IF(W32&lt;CONDUITS!$F$9,CONDUITS!$A$9,IF(W32&lt;CONDUITS!$F$10,CONDUITS!$A$10,IF(W32&lt;CONDUITS!$F$11,CONDUITS!$A$11,IF(W32&lt;CONDUITS!$F$12,CONDUITS!$A$12,IF(W32&lt;CONDUITS!$F$13,CONDUITS!$A$13,IF(W32&lt;CONDUITS!$F$14,CONDUITS!$A$14,IF(W32&lt;CONDUITS!$F$15,CONDUITS!$A$15,IF(W32&lt;CONDUITS!$F$16,CONDUITS!$A$16,IF(W32&lt;CONDUITS!$F$17,CONDUITS!$A$17,IF(W32&lt;CONDUITS!$F$18,CONDUITS!$A$18,IF(W32&lt;CONDUITS!$F$19,CONDUITS!$A$19,CONDUITS!$A$17)))))))))))))),           IF(AB32="IMC",IF(AND(VLOOKUP(C32,'H2-CONDUCTORES DE BT'!$D$2:$CH$321,38,FALSE)="Multiconductor"),(IF(W32&lt;CONDUITS!$Y$8,CONDUITS!$A$8,IF(W32&lt;CONDUITS!$Y$9,CONDUITS!$A$9,IF(W32&lt;CONDUITS!$Y$10,CONDUITS!$A$10,IF(W32&lt;CONDUITS!$Y$11,CONDUITS!$A$11,IF(W32&lt;CONDUITS!$Y$12,CONDUITS!$A$12,IF(W32&lt;CONDUITS!$Y$13,CONDUITS!$A$13,IF(W32&lt;CONDUITS!$Y$14,CONDUITS!$A$14,IF(W32&lt;CONDUITS!$Y$15,CONDUITS!$A$15,IF(W32&lt;CONDUITS!$Y$16,CONDUITS!$A$16,IF(W32&lt;CONDUITS!$Y$17,CONDUITS!$A$17,IF(W32&lt;CONDUITS!$Y$18,CONDUITS!$A$18,IF(W32&lt;CONDUITS!$Y$19,CONDUITS!$A$19,CONDUITS!$A$17))))))))))))),(IF(W32&lt;CONDUITS!$K$8,CONDUITS!$A$8,IF(W32&lt;CONDUITS!$K$9,CONDUITS!$A$9,IF(W32&lt;CONDUITS!$K$10,CONDUITS!$A$10,IF(W32&lt;CONDUITS!$K$11,CONDUITS!$A$11,IF(W32&lt;CONDUITS!$K$12,CONDUITS!$A$12,IF(W32&lt;CONDUITS!$K$13,CONDUITS!$A$13,IF(W32&lt;CONDUITS!$K$14,CONDUITS!$A$14,IF(W32&lt;CONDUITS!$K$15,CONDUITS!$A$15,IF(W32&lt;CONDUITS!$K$16,CONDUITS!$A$16,IF(W32&lt;CONDUITS!$K$17,CONDUITS!$A$17,IF(W32&lt;CONDUITS!$K$18,CONDUITS!$A$18,IF(W32&lt;CONDUITS!$K$19,CONDUITS!$A$19,CONDUITS!$A$17)))))))))))))),           IF(AB32="RMC",IF(AND(VLOOKUP(C32,'H2-CONDUCTORES DE BT'!$D$2:$CH$321,38,FALSE)="Multiconductor"),(IF(W32&lt;CONDUITS!$Z$8,CONDUITS!$A$8,IF(W32&lt;CONDUITS!$Z$9,CONDUITS!$A$9,IF(W32&lt;CONDUITS!$Z$10,CONDUITS!$A$10,IF(W32&lt;CONDUITS!$Z$11,CONDUITS!$A$11,IF(W32&lt;CONDUITS!$Z$12,CONDUITS!$A$12,IF(W32&lt;CONDUITS!$Z$13,CONDUITS!$A$13,IF(W32&lt;CONDUITS!$Z$14,CONDUITS!$A$14,IF(W32&lt;CONDUITS!$Z$15,CONDUITS!$A$15,IF(W32&lt;CONDUITS!$Z$16,CONDUITS!$A$16,IF(W32&lt;CONDUITS!$Z$17,CONDUITS!$A$17,IF(W32&lt;CONDUITS!$Z$18,CONDUITS!$A$18,IF(W32&lt;CONDUITS!$Z$19,CONDUITS!$A$19,CONDUITS!$A$17))))))))))))),(IF(W32&lt;CONDUITS!$P$8,CONDUITS!$A$8,IF(W32&lt;CONDUITS!$P$9,CONDUITS!$A$9,IF(W32&lt;CONDUITS!$P$10,CONDUITS!$A$10,IF(W32&lt;CONDUITS!$P$11,CONDUITS!$A$11,IF(W32&lt;CONDUITS!$P$12,CONDUITS!$A$12,IF(W32&lt;CONDUITS!$P$13,CONDUITS!$A$13,IF(W32&lt;CONDUITS!$P$14,CONDUITS!$A$14,IF(W32&lt;CONDUITS!$P$15,CONDUITS!$A$15,IF(W32&lt;CONDUITS!$P$16,CONDUITS!$A$16,IF(W32&lt;CONDUITS!$P$17,CONDUITS!$A$17,IF(W32&lt;CONDUITS!$P$18,CONDUITS!$A$18,IF(W32&lt;CONDUITS!$P$19,CONDUITS!$A$19,CONDUITS!$A$18)))))))))))))),IF(OR(AB32="PVC",AB32="CONDUIT FLEXIBLE"),IF(AND(VLOOKUP(C32,'H2-CONDUCTORES DE BT'!$D$2:$CH$321,38,FALSE)="Multiconductor"),(IF(W32&lt;CONDUITS!$AA$8,CONDUITS!$A$8,IF(W32&lt;CONDUITS!$AA$9,CONDUITS!$A$9,IF(W32&lt;CONDUITS!$AA$10,CONDUITS!$A$10,IF(W32&lt;CONDUITS!$AA$11,CONDUITS!$A$11,IF(W32&lt;CONDUITS!$AA$12,CONDUITS!$A$12,IF(W32&lt;CONDUITS!$AA$13,CONDUITS!$A$13,IF(W32&lt;CONDUITS!$AA$14,CONDUITS!$A$14,IF(W32&lt;CONDUITS!$AA$15,CONDUITS!$A$15,IF(W32&lt;CONDUITS!$AA$16,CONDUITS!$A$16,IF(W32&lt;CONDUITS!$AA$17,CONDUITS!$A$17,IF(W32&lt;CONDUITS!$AA$18,CONDUITS!$A$18,IF(W32&lt;CONDUITS!$AA$19,CONDUITS!$A$19,CONDUITS!$A$17))))))))))))),(IF(W32&lt;CONDUITS!$U$8,CONDUITS!$A$8,IF(W32&lt;CONDUITS!$U$9,CONDUITS!$A$9,IF(W32&lt;CONDUITS!$U$10,CONDUITS!$A$10,IF(W32&lt;CONDUITS!$U$11,CONDUITS!$A$11,IF(W32&lt;CONDUITS!$U$12,CONDUITS!$A$12,IF(W32&lt;CONDUITS!$U$13,CONDUITS!$A$13,IF(W32&lt;CONDUITS!$U$14,CONDUITS!$A$14,IF(W32&lt;CONDUITS!$U$15,CONDUITS!$A$15,IF(W32&lt;CONDUITS!$U$16,CONDUITS!$A$16,IF(W32&lt;CONDUITS!$U$17,CONDUITS!$A$17,IF(W32&lt;CONDUITS!$U$18,CONDUITS!$A$18,IF(W32&lt;CONDUITS!$U$19,CONDUITS!$A$19,CONDUITS!$A$18)))))))))))))),"NO")))),"  "))</f>
        <v>6</v>
      </c>
      <c r="BE32" s="937">
        <f t="shared" si="37"/>
        <v>2</v>
      </c>
      <c r="BF32" s="953" t="str">
        <f>IF(OR(AW32="BANDEJA",AT32="SI"),IF((VLOOKUP(C32,'H2-CONDUCTORES DE BT'!$D$2:$AW$216,38,FALSE))="Monopolar",(IF(VLOOKUP(C32,'H2-CONDUCTORES DE BT'!$D$1:$AY$216,48,FALSE)="SI",((((VLOOKUP(C32,'H2-CONDUCTORES DE BT'!$D$2:$BM$453,37,FALSE))*(VLOOKUP(C32,'H2-CONDUCTORES DE BT'!$D$2:$BM$473,24,FALSE))  )*(LOOKUP(AZ32,CONDUCTORES!$A$9:$A$62,CONDUCTORES!$D$9:$D$62)))+(IF(AW32="BANDEJA",0,VLOOKUP(C32,'H2-CONDUCTORES DE BT'!$D$2:$BM$473,37,FALSE))*(LOOKUP(BA32,CONDUCTORES!$A$9:$A$62,CONDUCTORES!$D$9:$D$62)))+(IF(VLOOKUP(C32,'H2-CONDUCTORES DE BT'!$D$2:$BM$473,53,FALSE)="NO",0,((VLOOKUP(C32,'H2-CONDUCTORES DE BT'!$D$2:$BM$473,37,FALSE))*(LOOKUP(BI32,CONDUCTORES!$A$9:$A$62,CONDUCTORES!$D$9:$D$62)))))),(   IF(AND(AW32="BANDEJA",VLOOKUP(C32,'H2-CONDUCTORES DE BT'!$D$1:$AY$216,47,FALSE)="NO"),VLOOKUP(C32,'H2-CONDUCTORES DE BT'!$D$2:$BM$473,24,FALSE), ((VLOOKUP(C32,'H2-CONDUCTORES DE BT'!$D$2:$BM$473,37,FALSE))*(VLOOKUP(C32,'H2-CONDUCTORES DE BT'!$D$2:$BM$473,24,FALSE))   ))  *(LOOKUP(AZ32,CONDUCTORES!$A$9:$A$62,CONDUCTORES!$D$9:$D$62))))),    (VLOOKUP(C32,'H2-CONDUCTORES DE BT'!$D$2:$BM$473,37,FALSE))*(LOOKUP(AZ32,CONDUCTORES!$A$9:$A$62,CONDUCTORES!$D$9:$D$62))+(IF(VLOOKUP(C32,'H2-CONDUCTORES DE BT'!$D$1:$AY$216,48,FALSE)="SI",((VLOOKUP(C32,'H2-CONDUCTORES DE BT'!$D$2:$BM$473,37,FALSE))*(LOOKUP(BA32,CONDUCTORES!$A$9:$A$62,CONDUCTORES!$D$9:$D$62))),))),"--")</f>
        <v>--</v>
      </c>
      <c r="BG32" s="951"/>
      <c r="BH32" s="952" t="str">
        <f>IF(VLOOKUP(C32,'H2-CONDUCTORES DE BT'!$D$2:$BL$420,53,FALSE)="NO","  ",VLOOKUP(C32,'H2-CONDUCTORES DE BT'!$D$2:$BL$420,53,FALSE))</f>
        <v xml:space="preserve">  </v>
      </c>
      <c r="BI32" s="1318" t="str">
        <f>+IF(BH32="  ","  ",VLOOKUP(BH32,CONDUCTORES!$B$9:$X$23,23,FALSE))</f>
        <v xml:space="preserve">  </v>
      </c>
      <c r="BJ32" s="464" t="str">
        <f>IF(VLOOKUP(C32,'H2-CONDUCTORES DE BT'!$D$2:$CH$321,38,FALSE)="Multiconductor","MULTI","MONO")</f>
        <v>MONO</v>
      </c>
      <c r="BK32" s="1322"/>
      <c r="BL32" s="1322">
        <v>10</v>
      </c>
      <c r="BM32" s="1322">
        <f>+(LOOKUP(AZ32,CONDUCTORES!$A$9:$A$62,CONDUCTORES!$D$9:$D$62))</f>
        <v>12.24</v>
      </c>
      <c r="BN32" s="1322">
        <f t="shared" si="38"/>
        <v>122.4</v>
      </c>
      <c r="BO32" s="1322"/>
      <c r="BP32" s="1322">
        <f>+((((5)*(   IF(AS32="Horizontal","ss",IF(OR(VLOOKUP(C32,'H2-CONDUCTORES DE BT'!$D$2:$BM$473,24,FALSE)=3,VLOOKUP(C32,'H2-CONDUCTORES DE BT'!$D$2:$BM$473,24,FALSE)=6,VLOOKUP(C32,'H2-CONDUCTORES DE BT'!$D$2:$BM$473,24,FALSE)=9,VLOOKUP(C32,'H2-CONDUCTORES DE BT'!$D$2:$BM$473,24,FALSE)=12,VLOOKUP(C32,'H2-CONDUCTORES DE BT'!$D$2:$BM$473,24,FALSE)=15,VLOOKUP(C32,'H2-CONDUCTORES DE BT'!$D$2:$BM$473,24,FALSE)=18),((VLOOKUP(C32,'H2-CONDUCTORES DE BT'!$D$2:$BM$473,24,FALSE))-((15)/3)),"2") )   )  )*(29.41))+(0))</f>
        <v>-294.10000000000002</v>
      </c>
      <c r="BQ32" s="1322"/>
      <c r="BR32" s="1329" t="str">
        <f>IF(AI32="--","  ",IF(AZ32&lt;=10,('H2-CONDUCTORES DE BT'!$AA22*VLOOKUP(AZ32,CONDUCTORES!$A$9:$G$62,4,FALSE)*100)/(AI32*10),('H2-CONDUCTORES DE BT'!AA22*VLOOKUP(AZ32,CONDUCTORES!$A$9:$G$62,6,FALSE)*100)/VLOOKUP(AI32,CONDUITS!$L$25:$Q$36,4,FALSE)))</f>
        <v xml:space="preserve">  </v>
      </c>
      <c r="BS32" s="1329" t="str">
        <f>IF(AI32="--","  ",IF(OR(AZ32&lt;=10,BA32&lt;=10),(VLOOKUP(AI32,CONDUITS!$L$25:$Q$36,5,FALSE)-(28*'H2-CONDUCTORES DE BT'!$BA22*VLOOKUP(BA32,CONDUCTORES!$A$9:$G$62,4,FALSE)))*100/(AI32*10*100),VLOOKUP(AI32,CONDUITS!$L$25:$Q$36,5,FALSE)*100/(AI32*10*100)))</f>
        <v xml:space="preserve">  </v>
      </c>
      <c r="BT32" s="1322"/>
      <c r="BU32" s="1322"/>
      <c r="BV32" s="1322" t="str">
        <f>IF($AI32="--","  ",IF(AND($AZ32&lt;=10,$BA32&lt;=10),'H2-CONDUCTORES DE BT'!$AA22*VLOOKUP($AZ32,CONDUCTORES!$A$9:$G$62,4,FALSE),""))</f>
        <v xml:space="preserve">  </v>
      </c>
      <c r="BW32" s="1322" t="str">
        <f>+IF($AI32="--","  ",IF(AND($AZ32&lt;=10,$BA32&lt;=10),'H2-CONDUCTORES DE BT'!$BA22*VLOOKUP($BA32,CONDUCTORES!$A$9:$G$62,4,FALSE),""))</f>
        <v xml:space="preserve">  </v>
      </c>
      <c r="BX32" s="1322" t="str">
        <f t="shared" si="23"/>
        <v xml:space="preserve">  </v>
      </c>
      <c r="BY32" s="1322" t="str">
        <f t="shared" si="24"/>
        <v xml:space="preserve">  </v>
      </c>
      <c r="BZ32" s="1322" t="str">
        <f>IF($AI32="--","  ",IF(AND($AZ32&gt;10,$BA32&lt;=10),'H2-CONDUCTORES DE BT'!$AA22*VLOOKUP($AZ32,CONDUCTORES!$A$9:$G$62,6,FALSE),""))</f>
        <v xml:space="preserve">  </v>
      </c>
      <c r="CA32" s="1322" t="str">
        <f>IF($AI32="--","  ",IF(AND($AZ32&gt;10,$BA32&lt;=10),'H2-CONDUCTORES DE BT'!$BA22*VLOOKUP(BA32,CONDUCTORES!$A$9:$G$62,4,FALSE),""))</f>
        <v xml:space="preserve">  </v>
      </c>
      <c r="CB32" s="1322" t="str">
        <f t="shared" si="25"/>
        <v xml:space="preserve">  </v>
      </c>
      <c r="CC32" s="1322" t="str">
        <f>IF($AI32="--","  ",IF(AND($AZ32&gt;10,$BA32&lt;=10),VLOOKUP($AI32,CONDUITS!$L$25:$Q$36,4,FALSE),""))</f>
        <v xml:space="preserve">  </v>
      </c>
      <c r="CD32" s="1322" t="str">
        <f>IF($AI32="--","  ",IF(AND($AZ32&gt;10,$BA32&lt;=10),VLOOKUP($AI32,CONDUITS!$L$25:$Q$36,4,FALSE),""))</f>
        <v xml:space="preserve">  </v>
      </c>
      <c r="CE32" s="1329" t="str">
        <f t="shared" si="26"/>
        <v xml:space="preserve">  </v>
      </c>
      <c r="CF32" s="1322" t="str">
        <f>IF($AI32="--","  ",IF(AND($AZ32&gt;10,$BA32&gt;10),'H2-CONDUCTORES DE BT'!$AA22*VLOOKUP($AZ32,CONDUCTORES!$A$9:$G$62,6,FALSE),""))</f>
        <v xml:space="preserve">  </v>
      </c>
      <c r="CG32" s="1322">
        <f>IF(OR($AI32="--",$BA32="  "),0,IF(AND($AZ32&gt;10,$BA32&gt;10),'H2-CONDUCTORES DE BT'!$BA22*VLOOKUP($BA32,CONDUCTORES!$A$9:$G$62,4,FALSE),""))</f>
        <v>0</v>
      </c>
      <c r="CH32" s="1322" t="str">
        <f t="shared" si="27"/>
        <v xml:space="preserve">  </v>
      </c>
      <c r="CI32" s="1322" t="str">
        <f>IF($AI32="--","  ",IF(AND($AZ32&gt;10,$BA32&gt;10),VLOOKUP($AI32,CONDUITS!$L$25:$Q$36,5,FALSE),""))</f>
        <v xml:space="preserve">  </v>
      </c>
      <c r="CJ32" s="1329" t="str">
        <f t="shared" si="28"/>
        <v xml:space="preserve">  </v>
      </c>
      <c r="CK32" s="1329" t="str">
        <f t="shared" si="29"/>
        <v xml:space="preserve">  </v>
      </c>
    </row>
    <row r="33" spans="1:89" s="580" customFormat="1" ht="26.4" customHeight="1" x14ac:dyDescent="0.25">
      <c r="A33" s="1185">
        <f>IF(OR(BE33=0,BE33=1),0,COUNTIF(BE$26:BE33,BE33))</f>
        <v>6</v>
      </c>
      <c r="B33" s="1144" t="str">
        <f>+_xlfn.CONCAT($B$27,".",SUBTOTAL(103,$AO$28:AO33))</f>
        <v>4.2.6</v>
      </c>
      <c r="C33" s="1836" t="str">
        <f>+'H2-CONDUCTORES DE BT'!D23</f>
        <v>PCP-DT-58</v>
      </c>
      <c r="D33" s="1837"/>
      <c r="E33" s="1838"/>
      <c r="F33" s="1823" t="str">
        <f>+VLOOKUP(C33,'H2-CONDUCTORES DE BT'!$D$2:$BL$155,2,FALSE)</f>
        <v>MOTOR PCP (PROYECTADO)</v>
      </c>
      <c r="G33" s="1824"/>
      <c r="H33" s="1824"/>
      <c r="I33" s="1824"/>
      <c r="J33" s="1825"/>
      <c r="K33" s="1789" t="str">
        <f>+VLOOKUP(C33,'H2-CONDUCTORES DE BT'!$D$2:$BL$155,20,FALSE)</f>
        <v>1x[3x(1x1/0 AWG)] + 1x(1Gx4 AWG)</v>
      </c>
      <c r="L33" s="1789"/>
      <c r="M33" s="1789"/>
      <c r="N33" s="1789"/>
      <c r="O33" s="1789"/>
      <c r="P33" s="1816" t="str">
        <f>+VLOOKUP(C33,'H2-CONDUCTORES DE BT'!$D$2:$BL$155,19,FALSE)</f>
        <v>ALUMINIO, XHHW-2, 600 V, 90°C, Monopolar</v>
      </c>
      <c r="Q33" s="1817"/>
      <c r="R33" s="1817"/>
      <c r="S33" s="1817"/>
      <c r="T33" s="1817"/>
      <c r="U33" s="1818"/>
      <c r="V33" s="1132">
        <f>+VLOOKUP(C33,'H2-CONDUCTORES DE BT'!$D$2:$BM$166,4,FALSE)</f>
        <v>54</v>
      </c>
      <c r="W33" s="1133">
        <f t="shared" si="30"/>
        <v>405.62</v>
      </c>
      <c r="X33" s="1133">
        <f>IF(OR(AW33&lt;&gt;"BANDEJA",AT33="Si"),IF(VLOOKUP(C33,'H2-CONDUCTORES DE BT'!$D$2:$BM$166,46,FALSE)="Motor",LOOKUP(AZ33,CONDUCTORES!$A$9:$A$62,CONDUCTORES!$AA$9:$AA$62),IF((VLOOKUP(C33,'H2-CONDUCTORES DE BT'!$D$2:$BM$166,38,FALSE))="Monopolar",IF(AND(VLOOKUP(C33,'H2-CONDUCTORES DE BT'!$D$2:$BM$166,48,FALSE)="SI",VLOOKUP(C33,'H2-CONDUCTORES DE BT'!$D$2:$BM$450,53,FALSE)="No"), (((3)*(LOOKUP(AZ33,CONDUCTORES!$A$9:$A$62,CONDUCTORES!$F$9:$F$62)))+((IF((VLOOKUP(C33,'H2-CONDUCTORES DE BT'!$D$2:$BM$166,51,FALSE))&lt;&gt;"NO",VLOOKUP(C33,'H2-CONDUCTORES DE BT'!$D$2:$BM$166,50,FALSE),1))*(LOOKUP(BA33,CONDUCTORES!$A$9:$A$62,CONDUCTORES!$F$9:$F$62)))),IF(AND(VLOOKUP(C33,'H2-CONDUCTORES DE BT'!$D$2:$BM$166,48,FALSE)="SI",VLOOKUP(C33,'H2-CONDUCTORES DE BT'!$D$2:$BM$450,53,FALSE)&lt;&gt;"No"),  (((3)*(LOOKUP(AZ33,CONDUCTORES!$A$9:$A$62,CONDUCTORES!$F$9:$F$62)))+((IF((VLOOKUP(C33,'H2-CONDUCTORES DE BT'!$D$2:$BM$166,51,FALSE))&lt;&gt;"NO",VLOOKUP(C33,'H2-CONDUCTORES DE BT'!$D$2:$BM$166,50,FALSE),1))*(LOOKUP(BA33,CONDUCTORES!$A$9:$A$62,CONDUCTORES!$F$9:$F$62)))+((VLOOKUP(C33,'H2-CONDUCTORES DE BT'!$D$2:$BM$450,52,FALSE))*(LOOKUP(BI33,CONDUCTORES!$A$9:$A$62,CONDUCTORES!$F$9:$F$62)))),IF(AND(VLOOKUP(C33,'H2-CONDUCTORES DE BT'!$D$2:$BM$166,48,FALSE)="NO",VLOOKUP(C33,'H2-CONDUCTORES DE BT'!$D$2:$BM$450,53,FALSE)&lt;&gt;"No"),((3)*(LOOKUP(AZ33,CONDUCTORES!$A$9:$A$62,CONDUCTORES!$F$9:$F$62)))+((VLOOKUP(C33,'H2-CONDUCTORES DE BT'!$D$2:$BM$450,52,FALSE))*(LOOKUP(BI33,CONDUCTORES!$A$9:$A$62,CONDUCTORES!$F$9:$F$62))),((3)*(LOOKUP(AZ33,CONDUCTORES!$A$9:$A$62,CONDUCTORES!$F$9:$F$62)))))),(LOOKUP(AZ33,CONDUCTORES!$A$9:$A$62,CONDUCTORES!$F$9:$F$62)))),"--")</f>
        <v>405.62</v>
      </c>
      <c r="Y33" s="1133">
        <f t="shared" si="31"/>
        <v>405.62</v>
      </c>
      <c r="Z33" s="1134" t="str">
        <f>IF(OR(AW33&lt;&gt;"BANDEJA",AT33="Si"),IF(AB33="--","--",VLOOKUP(BD33,CONDUITS!$A$8:$C$19,3,FALSE)),"--")</f>
        <v>2"</v>
      </c>
      <c r="AA33" s="1135">
        <f t="shared" si="32"/>
        <v>1</v>
      </c>
      <c r="AB33" s="1136" t="str">
        <f t="shared" si="33"/>
        <v>PVC</v>
      </c>
      <c r="AC33" s="1115">
        <f>IF(MOD(MID(K33,1,1),IF(OR(AW33="BANDEJA",AW33="AÉREO"),1,AA33))=0,IF(OR(AW33&lt;&gt;"BANDEJA",AT33="Si"),IF(AB33="EMT",(W33/VLOOKUP(BD33,CONDUITS!$A$8:$W$19,7)*100),IF(AB33="IMC",(W33/VLOOKUP(BD33,CONDUITS!$A$8:$W$19,12)*100),IF(AB33="RMC",(W33/VLOOKUP(BD33,CONDUITS!$A$8:$W$19,17)*100),IF(OR(AB33="PVC",AB33="CONDUIT FLEXIBLE"),(W33/VLOOKUP(BD33,CONDUITS!$A$8:$W$19,22)*100),"--")))),"--"),"NO")</f>
        <v>15.918037302180958</v>
      </c>
      <c r="AD33" s="1138" t="str">
        <f t="shared" si="34"/>
        <v>CP-20-PCP-DT-58</v>
      </c>
      <c r="AE33" s="1135" t="str">
        <f>IF(OR(AW33="BANDEJA",AT33="SI"),IF((VLOOKUP(C33,'H2-CONDUCTORES DE BT'!$D$2:$BM$216,38,FALSE))="Monopolar",(IF(VLOOKUP(C33,'H2-CONDUCTORES DE BT'!$D$1:$BM$216,48,FALSE)="SI",(((VLOOKUP(C33,'H2-CONDUCTORES DE BT'!$D$2:$BM$216,37,FALSE))*(VLOOKUP(C33,'H2-CONDUCTORES DE BT'!$D$2:$BM$216,9,FALSE)))+(IF(AW33="BANDEJA",1*(IF(VLOOKUP(C33,'H2-CONDUCTORES DE BT'!$D$2:$BM$216,51,FALSE)="NO",1,VLOOKUP(C33,'H2-CONDUCTORES DE BT'!$D$2:$BM$216,50,FALSE))),((AO33)*(IF(VLOOKUP(C33,'H2-CONDUCTORES DE BT'!$D$2:$BM$216,51,FALSE)="NO",1,VLOOKUP(C33,'H2-CONDUCTORES DE BT'!$D$2:$BM$216,50,FALSE))))))+(IF(VLOOKUP(C33,'H2-CONDUCTORES DE BT'!$D$2:$BM$216,53,FALSE)="NO",0,VLOOKUP(C33,'H2-CONDUCTORES DE BT'!$D$2:$BM$216,37,FALSE))*(VLOOKUP(C33,'H2-CONDUCTORES DE BT'!$D$2:$BM$216,52,FALSE)))),   IF(VLOOKUP(C33,'H2-CONDUCTORES DE BT'!$D$1:$BM$216,48,FALSE)="NO",        (((VLOOKUP(C33,'H2-CONDUCTORES DE BT'!$D$2:$BM$216,37,FALSE))*(VLOOKUP(C33,'H2-CONDUCTORES DE BT'!$D$2:$BM$216,9,FALSE)))+(IF(VLOOKUP(C33,'H2-CONDUCTORES DE BT'!$D$2:$BM$216,53,FALSE)="NO",0,VLOOKUP(C33,'H2-CONDUCTORES DE BT'!$D$2:$BM$216,37,FALSE))*(VLOOKUP(C33,'H2-CONDUCTORES DE BT'!$D$2:$BM$216,52,FALSE)))), IF(AND(AW33="BANDEJA",VLOOKUP(C33,'H2-CONDUCTORES DE BT'!$D$1:$BM$216,48,FALSE)="NO"),VLOOKUP(C33,'H2-CONDUCTORES DE BT'!$D$2:$BM$216,24,FALSE),((VLOOKUP(C33,'H2-CONDUCTORES DE BT'!$D$2:$BM$216,37,FALSE))*(VLOOKUP(C33,'H2-CONDUCTORES DE BT'!$D$2:$BM$216,24,FALSE)))))    )),(MID(K33,1,1))+(IF(VLOOKUP(C33,'H2-CONDUCTORES DE BT'!$D$1:$BM$216,48,FALSE)="SI",VLOOKUP(C33,'H2-CONDUCTORES DE BT'!$D$2:$BM$216,50,FALSE),0))),"--")</f>
        <v>--</v>
      </c>
      <c r="AF33" s="1135" t="str">
        <f>IF($AI33="--","--",IF(AND($AZ33&gt;=11,$AZ33&lt;=14,$BA33&gt;=11,$BA33&lt;=14),'H2-CONDUCTORES DE BT'!$L24*'H2-CONDUCTORES DE BT'!$AN24*VLOOKUP($AZ33,CONDUCTORES!$A$9:$G$62,6,FALSE)+'H2-CONDUCTORES DE BT'!$BA24*VLOOKUP($BA33,CONDUCTORES!$A$9:$G$62,4,FALSE),
IF(AND($AZ33&gt;=11,$AZ33&lt;=14,$BA33&gt;=7,$BA33&lt;=10),'H2-CONDUCTORES DE BT'!$L24*'H2-CONDUCTORES DE BT'!$AN24*VLOOKUP($AZ33,CONDUCTORES!$A$9:$G$62,6,FALSE),"--")))</f>
        <v>--</v>
      </c>
      <c r="AG33" s="1139" t="str">
        <f>IF($AI33="--","--",IF(AND($AZ33&gt;=11,$AZ33&lt;=14,$BA33&gt;=7,$BA33&lt;=10),'H2-CONDUCTORES DE BT'!$BA24*VLOOKUP($BA33,CONDUCTORES!$A$9:$G$62,4,FALSE),
IF(AND($AZ33&gt;=7,$AZ33&lt;=10,$BA33&gt;=7,$BA33&lt;=10),'H2-CONDUCTORES DE BT'!$L24*'H2-CONDUCTORES DE BT'!$AN24*VLOOKUP($AZ33,CONDUCTORES!$A$9:$G$62,4,FALSE)+'H2-CONDUCTORES DE BT'!$BA24*VLOOKUP($BA33,CONDUCTORES!$A$9:$G$62,4,FALSE),
IF(AND($AZ33=15,$BA33&gt;=11,$BA33&lt;=14),'H2-CONDUCTORES DE BT'!$L24*'H2-CONDUCTORES DE BT'!$AN24*VLOOKUP($AZ33,CONDUCTORES!$A$9:$G$62,4,FALSE)+'H2-CONDUCTORES DE BT'!$BA24*VLOOKUP($BA33,CONDUCTORES!$A$9:$G$62,4,FALSE),
IF(AND($AZ33&gt;15,$BA33="  "),'H2-CONDUCTORES DE BT'!$L24*'H2-CONDUCTORES DE BT'!$AN24*VLOOKUP($AZ33,CONDUCTORES!$A$9:$G$62,4,FALSE),"--")))))</f>
        <v>--</v>
      </c>
      <c r="AH33" s="1139" t="str">
        <f t="shared" si="18"/>
        <v>--</v>
      </c>
      <c r="AI33" s="1139" t="str">
        <f t="shared" si="21"/>
        <v>--</v>
      </c>
      <c r="AJ33" s="1118" t="str">
        <f t="shared" si="19"/>
        <v>--</v>
      </c>
      <c r="AK33" s="1119" t="str">
        <f t="shared" si="20"/>
        <v>--</v>
      </c>
      <c r="AL33" s="1118" t="str">
        <f>IF(OR($AW33="BANDEJA",$AT33="SI"),IF($AI33="--","--",VLOOKUP(AI33,CONDUITS!$L$25:$Q$36,5,FALSE)*100/(AI33*10*100)),"--")</f>
        <v>--</v>
      </c>
      <c r="AM33" s="1140" t="str">
        <f t="shared" si="35"/>
        <v>--</v>
      </c>
      <c r="AN33" s="1142" t="str">
        <f t="shared" si="36"/>
        <v>--</v>
      </c>
      <c r="AO33" s="901">
        <v>1</v>
      </c>
      <c r="AP33" s="943" t="s">
        <v>648</v>
      </c>
      <c r="AQ33" s="944" t="s">
        <v>624</v>
      </c>
      <c r="AR33" s="902">
        <v>2</v>
      </c>
      <c r="AS33" s="945" t="s">
        <v>1158</v>
      </c>
      <c r="AT33" s="906" t="s">
        <v>605</v>
      </c>
      <c r="AU33" s="946" t="s">
        <v>599</v>
      </c>
      <c r="AV33" s="906" t="s">
        <v>605</v>
      </c>
      <c r="AW33" s="946" t="str">
        <f>+VLOOKUP(C33,'H2-CONDUCTORES DE BT'!$D$2:$BL$155,23,FALSE)</f>
        <v>BANCO DE DUCTOS</v>
      </c>
      <c r="AX33" s="903" t="str">
        <f>+VLOOKUP(C33,'H2-CONDUCTORES DE BT'!$D$2:$BL$155,36,FALSE)</f>
        <v>1/0 AWG</v>
      </c>
      <c r="AY33" s="947" t="str">
        <f>+(IF((VLOOKUP(C33,'H2-CONDUCTORES DE BT'!$D$2:$BL$155,40,FALSE))="Al",IF((VLOOKUP(C33,'H2-CONDUCTORES DE BT'!$D$2:$BL$155,51,FALSE))="No",LOOKUP((VLOOKUP(C33,'H2-CONDUCTORES DE BT'!$D$2:$BL$155,16,FALSE)),CONDUCTORES!$A$111:$A$131,CONDUCTORES!$C$111:$C$131),(VLOOKUP(C33,'H2-CONDUCTORES DE BT'!$D$2:$BL$155,51,FALSE))),IF((VLOOKUP(C33,'H2-CONDUCTORES DE BT'!$D$2:$BL$155,51,FALSE))="No",LOOKUP((VLOOKUP(C33,'H2-CONDUCTORES DE BT'!$D$2:$BL$155,16,FALSE)),CONDUCTORES!$A$111:$A$131,CONDUCTORES!$B$111:$B$131),(VLOOKUP(C33,'H2-CONDUCTORES DE BT'!$D$2:$BL$155,51,FALSE)))))</f>
        <v>4 AWG</v>
      </c>
      <c r="AZ33" s="948">
        <f>VLOOKUP(C33,'H2-CONDUCTORES DE BT'!$D$2:$CL$155,COLUMN('H2-CONDUCTORES DE BT'!BS6),FALSE)</f>
        <v>7</v>
      </c>
      <c r="BA33" s="947">
        <f>IF((VLOOKUP(C33,'H2-CONDUCTORES DE BT'!$D$2:$CL$155,38,FALSE))="Monopolar",VLOOKUP(AY33,CONDUCTORES!$B$9:$X$23,23,FALSE),IF(VLOOKUP(C33,'H2-CONDUCTORES DE BT'!$D$2:$CL$420,48,FALSE)="SI",VLOOKUP(AY33,CONDUCTORES!$B$9:$X$23,23,FALSE),"  "))</f>
        <v>5</v>
      </c>
      <c r="BB33" s="949" t="str">
        <f>IF(OR(AW33="BANDEJA",AT33="Si"),IF(AI33="--","  ",IF(OR(AZ33&lt;=10,BA33&lt;=10),(AG33*100)/(AI33*10),(AF33/(VLOOKUP(AI33,CONDUITS!$A$25:$B$37,2,FALSE)))*100)),"  ")</f>
        <v xml:space="preserve">  </v>
      </c>
      <c r="BC33" s="949" t="str">
        <f>IF(OR(AW33="BANDEJA",AT33="Si"),IF(AI33="--","  ",((AF33)/(VLOOKUP(AI33,CONDUITS!$A$25:$C$37,3,FALSE)))*100),"  ")</f>
        <v xml:space="preserve">  </v>
      </c>
      <c r="BD33" s="950">
        <f>(IF(OR(BA33&lt;&gt;"BANDEJA",AX33="Si"),IF(AB33="EMT",IF(AND(VLOOKUP(C33,'H2-CONDUCTORES DE BT'!$D$2:$CH$321,38,FALSE)="Multiconductor"),(IF(W33&lt;CONDUITS!$X$8,CONDUITS!$A$8,IF(W33&lt;CONDUITS!$X$9,CONDUITS!$A$9,IF(W33&lt;CONDUITS!$X$10,CONDUITS!$A$10,IF(W33&lt;CONDUITS!$X$11,CONDUITS!$A$11,IF(W33&lt;CONDUITS!$X$12,CONDUITS!$A$12,IF(W33&lt;CONDUITS!$X$13,CONDUITS!$A$13,IF(W33&lt;CONDUITS!$X$14,CONDUITS!$A$14,IF(W33&lt;CONDUITS!$X$15,CONDUITS!$A$15,IF(W33&lt;CONDUITS!$X$16,CONDUITS!$A$16,IF(W33&lt;CONDUITS!$X$17,CONDUITS!$A$17,IF(W33&lt;CONDUITS!$X$18,CONDUITS!$A$18,IF(W33&lt;CONDUITS!$X$19,CONDUITS!$A$19,CONDUITS!$A$17))))))))))))),(IF(W33&lt;CONDUITS!$F$8,CONDUITS!$A$8,IF(W33&lt;CONDUITS!$F$9,CONDUITS!$A$9,IF(W33&lt;CONDUITS!$F$10,CONDUITS!$A$10,IF(W33&lt;CONDUITS!$F$11,CONDUITS!$A$11,IF(W33&lt;CONDUITS!$F$12,CONDUITS!$A$12,IF(W33&lt;CONDUITS!$F$13,CONDUITS!$A$13,IF(W33&lt;CONDUITS!$F$14,CONDUITS!$A$14,IF(W33&lt;CONDUITS!$F$15,CONDUITS!$A$15,IF(W33&lt;CONDUITS!$F$16,CONDUITS!$A$16,IF(W33&lt;CONDUITS!$F$17,CONDUITS!$A$17,IF(W33&lt;CONDUITS!$F$18,CONDUITS!$A$18,IF(W33&lt;CONDUITS!$F$19,CONDUITS!$A$19,CONDUITS!$A$17)))))))))))))),           IF(AB33="IMC",IF(AND(VLOOKUP(C33,'H2-CONDUCTORES DE BT'!$D$2:$CH$321,38,FALSE)="Multiconductor"),(IF(W33&lt;CONDUITS!$Y$8,CONDUITS!$A$8,IF(W33&lt;CONDUITS!$Y$9,CONDUITS!$A$9,IF(W33&lt;CONDUITS!$Y$10,CONDUITS!$A$10,IF(W33&lt;CONDUITS!$Y$11,CONDUITS!$A$11,IF(W33&lt;CONDUITS!$Y$12,CONDUITS!$A$12,IF(W33&lt;CONDUITS!$Y$13,CONDUITS!$A$13,IF(W33&lt;CONDUITS!$Y$14,CONDUITS!$A$14,IF(W33&lt;CONDUITS!$Y$15,CONDUITS!$A$15,IF(W33&lt;CONDUITS!$Y$16,CONDUITS!$A$16,IF(W33&lt;CONDUITS!$Y$17,CONDUITS!$A$17,IF(W33&lt;CONDUITS!$Y$18,CONDUITS!$A$18,IF(W33&lt;CONDUITS!$Y$19,CONDUITS!$A$19,CONDUITS!$A$17))))))))))))),(IF(W33&lt;CONDUITS!$K$8,CONDUITS!$A$8,IF(W33&lt;CONDUITS!$K$9,CONDUITS!$A$9,IF(W33&lt;CONDUITS!$K$10,CONDUITS!$A$10,IF(W33&lt;CONDUITS!$K$11,CONDUITS!$A$11,IF(W33&lt;CONDUITS!$K$12,CONDUITS!$A$12,IF(W33&lt;CONDUITS!$K$13,CONDUITS!$A$13,IF(W33&lt;CONDUITS!$K$14,CONDUITS!$A$14,IF(W33&lt;CONDUITS!$K$15,CONDUITS!$A$15,IF(W33&lt;CONDUITS!$K$16,CONDUITS!$A$16,IF(W33&lt;CONDUITS!$K$17,CONDUITS!$A$17,IF(W33&lt;CONDUITS!$K$18,CONDUITS!$A$18,IF(W33&lt;CONDUITS!$K$19,CONDUITS!$A$19,CONDUITS!$A$17)))))))))))))),           IF(AB33="RMC",IF(AND(VLOOKUP(C33,'H2-CONDUCTORES DE BT'!$D$2:$CH$321,38,FALSE)="Multiconductor"),(IF(W33&lt;CONDUITS!$Z$8,CONDUITS!$A$8,IF(W33&lt;CONDUITS!$Z$9,CONDUITS!$A$9,IF(W33&lt;CONDUITS!$Z$10,CONDUITS!$A$10,IF(W33&lt;CONDUITS!$Z$11,CONDUITS!$A$11,IF(W33&lt;CONDUITS!$Z$12,CONDUITS!$A$12,IF(W33&lt;CONDUITS!$Z$13,CONDUITS!$A$13,IF(W33&lt;CONDUITS!$Z$14,CONDUITS!$A$14,IF(W33&lt;CONDUITS!$Z$15,CONDUITS!$A$15,IF(W33&lt;CONDUITS!$Z$16,CONDUITS!$A$16,IF(W33&lt;CONDUITS!$Z$17,CONDUITS!$A$17,IF(W33&lt;CONDUITS!$Z$18,CONDUITS!$A$18,IF(W33&lt;CONDUITS!$Z$19,CONDUITS!$A$19,CONDUITS!$A$17))))))))))))),(IF(W33&lt;CONDUITS!$P$8,CONDUITS!$A$8,IF(W33&lt;CONDUITS!$P$9,CONDUITS!$A$9,IF(W33&lt;CONDUITS!$P$10,CONDUITS!$A$10,IF(W33&lt;CONDUITS!$P$11,CONDUITS!$A$11,IF(W33&lt;CONDUITS!$P$12,CONDUITS!$A$12,IF(W33&lt;CONDUITS!$P$13,CONDUITS!$A$13,IF(W33&lt;CONDUITS!$P$14,CONDUITS!$A$14,IF(W33&lt;CONDUITS!$P$15,CONDUITS!$A$15,IF(W33&lt;CONDUITS!$P$16,CONDUITS!$A$16,IF(W33&lt;CONDUITS!$P$17,CONDUITS!$A$17,IF(W33&lt;CONDUITS!$P$18,CONDUITS!$A$18,IF(W33&lt;CONDUITS!$P$19,CONDUITS!$A$19,CONDUITS!$A$18)))))))))))))),IF(OR(AB33="PVC",AB33="CONDUIT FLEXIBLE"),IF(AND(VLOOKUP(C33,'H2-CONDUCTORES DE BT'!$D$2:$CH$321,38,FALSE)="Multiconductor"),(IF(W33&lt;CONDUITS!$AA$8,CONDUITS!$A$8,IF(W33&lt;CONDUITS!$AA$9,CONDUITS!$A$9,IF(W33&lt;CONDUITS!$AA$10,CONDUITS!$A$10,IF(W33&lt;CONDUITS!$AA$11,CONDUITS!$A$11,IF(W33&lt;CONDUITS!$AA$12,CONDUITS!$A$12,IF(W33&lt;CONDUITS!$AA$13,CONDUITS!$A$13,IF(W33&lt;CONDUITS!$AA$14,CONDUITS!$A$14,IF(W33&lt;CONDUITS!$AA$15,CONDUITS!$A$15,IF(W33&lt;CONDUITS!$AA$16,CONDUITS!$A$16,IF(W33&lt;CONDUITS!$AA$17,CONDUITS!$A$17,IF(W33&lt;CONDUITS!$AA$18,CONDUITS!$A$18,IF(W33&lt;CONDUITS!$AA$19,CONDUITS!$A$19,CONDUITS!$A$17))))))))))))),(IF(W33&lt;CONDUITS!$U$8,CONDUITS!$A$8,IF(W33&lt;CONDUITS!$U$9,CONDUITS!$A$9,IF(W33&lt;CONDUITS!$U$10,CONDUITS!$A$10,IF(W33&lt;CONDUITS!$U$11,CONDUITS!$A$11,IF(W33&lt;CONDUITS!$U$12,CONDUITS!$A$12,IF(W33&lt;CONDUITS!$U$13,CONDUITS!$A$13,IF(W33&lt;CONDUITS!$U$14,CONDUITS!$A$14,IF(W33&lt;CONDUITS!$U$15,CONDUITS!$A$15,IF(W33&lt;CONDUITS!$U$16,CONDUITS!$A$16,IF(W33&lt;CONDUITS!$U$17,CONDUITS!$A$17,IF(W33&lt;CONDUITS!$U$18,CONDUITS!$A$18,IF(W33&lt;CONDUITS!$U$19,CONDUITS!$A$19,CONDUITS!$A$18)))))))))))))),"NO")))),"  "))</f>
        <v>6</v>
      </c>
      <c r="BE33" s="937">
        <f t="shared" si="37"/>
        <v>2</v>
      </c>
      <c r="BF33" s="953" t="str">
        <f>IF(OR(AW33="BANDEJA",AT33="SI"),IF((VLOOKUP(C33,'H2-CONDUCTORES DE BT'!$D$2:$AW$216,38,FALSE))="Monopolar",(IF(VLOOKUP(C33,'H2-CONDUCTORES DE BT'!$D$1:$AY$216,48,FALSE)="SI",((((VLOOKUP(C33,'H2-CONDUCTORES DE BT'!$D$2:$BM$453,37,FALSE))*(VLOOKUP(C33,'H2-CONDUCTORES DE BT'!$D$2:$BM$473,24,FALSE))  )*(LOOKUP(AZ33,CONDUCTORES!$A$9:$A$62,CONDUCTORES!$D$9:$D$62)))+(IF(AW33="BANDEJA",0,VLOOKUP(C33,'H2-CONDUCTORES DE BT'!$D$2:$BM$473,37,FALSE))*(LOOKUP(BA33,CONDUCTORES!$A$9:$A$62,CONDUCTORES!$D$9:$D$62)))+(IF(VLOOKUP(C33,'H2-CONDUCTORES DE BT'!$D$2:$BM$473,53,FALSE)="NO",0,((VLOOKUP(C33,'H2-CONDUCTORES DE BT'!$D$2:$BM$473,37,FALSE))*(LOOKUP(BI33,CONDUCTORES!$A$9:$A$62,CONDUCTORES!$D$9:$D$62)))))),(   IF(AND(AW33="BANDEJA",VLOOKUP(C33,'H2-CONDUCTORES DE BT'!$D$1:$AY$216,47,FALSE)="NO"),VLOOKUP(C33,'H2-CONDUCTORES DE BT'!$D$2:$BM$473,24,FALSE), ((VLOOKUP(C33,'H2-CONDUCTORES DE BT'!$D$2:$BM$473,37,FALSE))*(VLOOKUP(C33,'H2-CONDUCTORES DE BT'!$D$2:$BM$473,24,FALSE))   ))  *(LOOKUP(AZ33,CONDUCTORES!$A$9:$A$62,CONDUCTORES!$D$9:$D$62))))),    (VLOOKUP(C33,'H2-CONDUCTORES DE BT'!$D$2:$BM$473,37,FALSE))*(LOOKUP(AZ33,CONDUCTORES!$A$9:$A$62,CONDUCTORES!$D$9:$D$62))+(IF(VLOOKUP(C33,'H2-CONDUCTORES DE BT'!$D$1:$AY$216,48,FALSE)="SI",((VLOOKUP(C33,'H2-CONDUCTORES DE BT'!$D$2:$BM$473,37,FALSE))*(LOOKUP(BA33,CONDUCTORES!$A$9:$A$62,CONDUCTORES!$D$9:$D$62))),))),"--")</f>
        <v>--</v>
      </c>
      <c r="BG33" s="951"/>
      <c r="BH33" s="952" t="str">
        <f>IF(VLOOKUP(C33,'H2-CONDUCTORES DE BT'!$D$2:$BL$420,53,FALSE)="NO","  ",VLOOKUP(C33,'H2-CONDUCTORES DE BT'!$D$2:$BL$420,53,FALSE))</f>
        <v xml:space="preserve">  </v>
      </c>
      <c r="BI33" s="1318" t="str">
        <f>+IF(BH33="  ","  ",VLOOKUP(BH33,CONDUCTORES!$B$9:$X$23,23,FALSE))</f>
        <v xml:space="preserve">  </v>
      </c>
      <c r="BJ33" s="464" t="str">
        <f>IF(VLOOKUP(C33,'H2-CONDUCTORES DE BT'!$D$2:$CH$321,38,FALSE)="Multiconductor","MULTI","MONO")</f>
        <v>MONO</v>
      </c>
      <c r="BK33" s="1322"/>
      <c r="BL33" s="1322">
        <v>10</v>
      </c>
      <c r="BM33" s="1322">
        <f>+(LOOKUP(AZ33,CONDUCTORES!$A$9:$A$62,CONDUCTORES!$D$9:$D$62))</f>
        <v>12.24</v>
      </c>
      <c r="BN33" s="1322">
        <f t="shared" si="38"/>
        <v>122.4</v>
      </c>
      <c r="BO33" s="1322"/>
      <c r="BP33" s="1322">
        <f>+((((5)*(   IF(AS33="Horizontal","ss",IF(OR(VLOOKUP(C33,'H2-CONDUCTORES DE BT'!$D$2:$BM$473,24,FALSE)=3,VLOOKUP(C33,'H2-CONDUCTORES DE BT'!$D$2:$BM$473,24,FALSE)=6,VLOOKUP(C33,'H2-CONDUCTORES DE BT'!$D$2:$BM$473,24,FALSE)=9,VLOOKUP(C33,'H2-CONDUCTORES DE BT'!$D$2:$BM$473,24,FALSE)=12,VLOOKUP(C33,'H2-CONDUCTORES DE BT'!$D$2:$BM$473,24,FALSE)=15,VLOOKUP(C33,'H2-CONDUCTORES DE BT'!$D$2:$BM$473,24,FALSE)=18),((VLOOKUP(C33,'H2-CONDUCTORES DE BT'!$D$2:$BM$473,24,FALSE))-((15)/3)),"2") )   )  )*(29.41))+(0))</f>
        <v>-294.10000000000002</v>
      </c>
      <c r="BQ33" s="1322"/>
      <c r="BR33" s="1329" t="str">
        <f>IF(AI33="--","  ",IF(AZ33&lt;=10,('H2-CONDUCTORES DE BT'!$AA24*VLOOKUP(AZ33,CONDUCTORES!$A$9:$G$62,4,FALSE)*100)/(AI33*10),('H2-CONDUCTORES DE BT'!AA24*VLOOKUP(AZ33,CONDUCTORES!$A$9:$G$62,6,FALSE)*100)/VLOOKUP(AI33,CONDUITS!$L$25:$Q$36,4,FALSE)))</f>
        <v xml:space="preserve">  </v>
      </c>
      <c r="BS33" s="1329" t="str">
        <f>IF(AI33="--","  ",IF(OR(AZ33&lt;=10,BA33&lt;=10),(VLOOKUP(AI33,CONDUITS!$L$25:$Q$36,5,FALSE)-(28*'H2-CONDUCTORES DE BT'!$BA24*VLOOKUP(BA33,CONDUCTORES!$A$9:$G$62,4,FALSE)))*100/(AI33*10*100),VLOOKUP(AI33,CONDUITS!$L$25:$Q$36,5,FALSE)*100/(AI33*10*100)))</f>
        <v xml:space="preserve">  </v>
      </c>
      <c r="BT33" s="1322"/>
      <c r="BU33" s="1322"/>
      <c r="BV33" s="1322" t="str">
        <f>IF($AI33="--","  ",IF(AND($AZ33&lt;=10,$BA33&lt;=10),'H2-CONDUCTORES DE BT'!$AA24*VLOOKUP($AZ33,CONDUCTORES!$A$9:$G$62,4,FALSE),""))</f>
        <v xml:space="preserve">  </v>
      </c>
      <c r="BW33" s="1322" t="str">
        <f>+IF($AI33="--","  ",IF(AND($AZ33&lt;=10,$BA33&lt;=10),'H2-CONDUCTORES DE BT'!$BA24*VLOOKUP($BA33,CONDUCTORES!$A$9:$G$62,4,FALSE),""))</f>
        <v xml:space="preserve">  </v>
      </c>
      <c r="BX33" s="1322" t="str">
        <f t="shared" si="23"/>
        <v xml:space="preserve">  </v>
      </c>
      <c r="BY33" s="1322" t="str">
        <f t="shared" si="24"/>
        <v xml:space="preserve">  </v>
      </c>
      <c r="BZ33" s="1322" t="str">
        <f>IF($AI33="--","  ",IF(AND($AZ33&gt;10,$BA33&lt;=10),'H2-CONDUCTORES DE BT'!$AA24*VLOOKUP($AZ33,CONDUCTORES!$A$9:$G$62,6,FALSE),""))</f>
        <v xml:space="preserve">  </v>
      </c>
      <c r="CA33" s="1322" t="str">
        <f>IF($AI33="--","  ",IF(AND($AZ33&gt;10,$BA33&lt;=10),'H2-CONDUCTORES DE BT'!$BA24*VLOOKUP(BA33,CONDUCTORES!$A$9:$G$62,4,FALSE),""))</f>
        <v xml:space="preserve">  </v>
      </c>
      <c r="CB33" s="1322" t="str">
        <f t="shared" si="25"/>
        <v xml:space="preserve">  </v>
      </c>
      <c r="CC33" s="1322" t="str">
        <f>IF($AI33="--","  ",IF(AND($AZ33&gt;10,$BA33&lt;=10),VLOOKUP($AI33,CONDUITS!$L$25:$Q$36,4,FALSE),""))</f>
        <v xml:space="preserve">  </v>
      </c>
      <c r="CD33" s="1322" t="str">
        <f>IF($AI33="--","  ",IF(AND($AZ33&gt;10,$BA33&lt;=10),VLOOKUP($AI33,CONDUITS!$L$25:$Q$36,4,FALSE),""))</f>
        <v xml:space="preserve">  </v>
      </c>
      <c r="CE33" s="1329" t="str">
        <f t="shared" si="26"/>
        <v xml:space="preserve">  </v>
      </c>
      <c r="CF33" s="1322" t="str">
        <f>IF($AI33="--","  ",IF(AND($AZ33&gt;10,$BA33&gt;10),'H2-CONDUCTORES DE BT'!$AA24*VLOOKUP($AZ33,CONDUCTORES!$A$9:$G$62,6,FALSE),""))</f>
        <v xml:space="preserve">  </v>
      </c>
      <c r="CG33" s="1322">
        <f>IF(OR($AI33="--",$BA33="  "),0,IF(AND($AZ33&gt;10,$BA33&gt;10),'H2-CONDUCTORES DE BT'!$BA24*VLOOKUP($BA33,CONDUCTORES!$A$9:$G$62,4,FALSE),""))</f>
        <v>0</v>
      </c>
      <c r="CH33" s="1322" t="str">
        <f t="shared" si="27"/>
        <v xml:space="preserve">  </v>
      </c>
      <c r="CI33" s="1322" t="str">
        <f>IF($AI33="--","  ",IF(AND($AZ33&gt;10,$BA33&gt;10),VLOOKUP($AI33,CONDUITS!$L$25:$Q$36,5,FALSE),""))</f>
        <v xml:space="preserve">  </v>
      </c>
      <c r="CJ33" s="1329" t="str">
        <f t="shared" si="28"/>
        <v xml:space="preserve">  </v>
      </c>
      <c r="CK33" s="1329" t="str">
        <f t="shared" si="29"/>
        <v xml:space="preserve">  </v>
      </c>
    </row>
    <row r="34" spans="1:89" s="580" customFormat="1" ht="26.4" customHeight="1" x14ac:dyDescent="0.25">
      <c r="A34" s="1185">
        <f>IF(OR(BE34=0,BE34=1),0,COUNTIF(BE$26:BE34,BE34))</f>
        <v>7</v>
      </c>
      <c r="B34" s="1144" t="str">
        <f>+_xlfn.CONCAT($B$27,".",SUBTOTAL(103,$AO$28:AO34))</f>
        <v>4.2.7</v>
      </c>
      <c r="C34" s="1836" t="str">
        <f>+'H2-CONDUCTORES DE BT'!D24</f>
        <v>MR-DT-58</v>
      </c>
      <c r="D34" s="1837"/>
      <c r="E34" s="1838"/>
      <c r="F34" s="1823" t="str">
        <f>+VLOOKUP(C34,'H2-CONDUCTORES DE BT'!$D$2:$BL$155,2,FALSE)</f>
        <v>MOTOR ROTADOR (PROYECTADO)</v>
      </c>
      <c r="G34" s="1824"/>
      <c r="H34" s="1824"/>
      <c r="I34" s="1824"/>
      <c r="J34" s="1825"/>
      <c r="K34" s="1789" t="str">
        <f>+VLOOKUP(C34,'H2-CONDUCTORES DE BT'!$D$2:$BL$155,20,FALSE)</f>
        <v>1x(4x12 AWG)</v>
      </c>
      <c r="L34" s="1789"/>
      <c r="M34" s="1789"/>
      <c r="N34" s="1789"/>
      <c r="O34" s="1789"/>
      <c r="P34" s="1816" t="str">
        <f>+VLOOKUP(C34,'H2-CONDUCTORES DE BT'!$D$2:$BL$155,19,FALSE)</f>
        <v>ALUMINIO, XHHW-2, 600 V, 90°C, Multiconductor</v>
      </c>
      <c r="Q34" s="1817"/>
      <c r="R34" s="1817"/>
      <c r="S34" s="1817"/>
      <c r="T34" s="1817"/>
      <c r="U34" s="1818"/>
      <c r="V34" s="1132">
        <f>+VLOOKUP(C34,'H2-CONDUCTORES DE BT'!$D$2:$BM$166,4,FALSE)</f>
        <v>54</v>
      </c>
      <c r="W34" s="1133">
        <f t="shared" si="30"/>
        <v>86.59014751456867</v>
      </c>
      <c r="X34" s="1133">
        <f>IF(OR(AW34&lt;&gt;"BANDEJA",AT34="Si"),IF(VLOOKUP(C34,'H2-CONDUCTORES DE BT'!$D$2:$BM$166,46,FALSE)="Motor",LOOKUP(AZ34,CONDUCTORES!$A$9:$A$62,CONDUCTORES!$AA$9:$AA$62),IF((VLOOKUP(C34,'H2-CONDUCTORES DE BT'!$D$2:$BM$166,38,FALSE))="Monopolar",IF(AND(VLOOKUP(C34,'H2-CONDUCTORES DE BT'!$D$2:$BM$166,48,FALSE)="SI",VLOOKUP(C34,'H2-CONDUCTORES DE BT'!$D$2:$BM$450,53,FALSE)="No"), (((3)*(LOOKUP(AZ34,CONDUCTORES!$A$9:$A$62,CONDUCTORES!$F$9:$F$62)))+((IF((VLOOKUP(C34,'H2-CONDUCTORES DE BT'!$D$2:$BM$166,51,FALSE))&lt;&gt;"NO",VLOOKUP(C34,'H2-CONDUCTORES DE BT'!$D$2:$BM$166,50,FALSE),1))*(LOOKUP(BA34,CONDUCTORES!$A$9:$A$62,CONDUCTORES!$F$9:$F$62)))),IF(AND(VLOOKUP(C34,'H2-CONDUCTORES DE BT'!$D$2:$BM$166,48,FALSE)="SI",VLOOKUP(C34,'H2-CONDUCTORES DE BT'!$D$2:$BM$450,53,FALSE)&lt;&gt;"No"),  (((3)*(LOOKUP(AZ34,CONDUCTORES!$A$9:$A$62,CONDUCTORES!$F$9:$F$62)))+((IF((VLOOKUP(C34,'H2-CONDUCTORES DE BT'!$D$2:$BM$166,51,FALSE))&lt;&gt;"NO",VLOOKUP(C34,'H2-CONDUCTORES DE BT'!$D$2:$BM$166,50,FALSE),1))*(LOOKUP(BA34,CONDUCTORES!$A$9:$A$62,CONDUCTORES!$F$9:$F$62)))+((VLOOKUP(C34,'H2-CONDUCTORES DE BT'!$D$2:$BM$450,52,FALSE))*(LOOKUP(BI34,CONDUCTORES!$A$9:$A$62,CONDUCTORES!$F$9:$F$62)))),IF(AND(VLOOKUP(C34,'H2-CONDUCTORES DE BT'!$D$2:$BM$166,48,FALSE)="NO",VLOOKUP(C34,'H2-CONDUCTORES DE BT'!$D$2:$BM$450,53,FALSE)&lt;&gt;"No"),((3)*(LOOKUP(AZ34,CONDUCTORES!$A$9:$A$62,CONDUCTORES!$F$9:$F$62)))+((VLOOKUP(C34,'H2-CONDUCTORES DE BT'!$D$2:$BM$450,52,FALSE))*(LOOKUP(BI34,CONDUCTORES!$A$9:$A$62,CONDUCTORES!$F$9:$F$62))),((3)*(LOOKUP(AZ34,CONDUCTORES!$A$9:$A$62,CONDUCTORES!$F$9:$F$62)))))),(LOOKUP(AZ34,CONDUCTORES!$A$9:$A$62,CONDUCTORES!$F$9:$F$62)))),"--")</f>
        <v>86.59014751456867</v>
      </c>
      <c r="Y34" s="1133">
        <f t="shared" si="31"/>
        <v>86.59014751456867</v>
      </c>
      <c r="Z34" s="1134" t="str">
        <f>IF(OR(AW34&lt;&gt;"BANDEJA",AT34="Si"),IF(AB34="--","--",VLOOKUP(BD34,CONDUITS!$A$8:$C$19,3,FALSE)),"--")</f>
        <v>1"</v>
      </c>
      <c r="AA34" s="1135">
        <f t="shared" si="32"/>
        <v>1</v>
      </c>
      <c r="AB34" s="1136" t="str">
        <f t="shared" si="33"/>
        <v>PVC</v>
      </c>
      <c r="AC34" s="1115">
        <f>IF(MOD(MID(K34,1,1),IF(OR(AW34="BANDEJA",AW34="AÉREO"),1,AA34))=0,IF(OR(AW34&lt;&gt;"BANDEJA",AT34="Si"),IF(AB34="EMT",(W34/VLOOKUP(BD34,CONDUITS!$A$8:$W$19,7)*100),IF(AB34="IMC",(W34/VLOOKUP(BD34,CONDUITS!$A$8:$W$19,12)*100),IF(AB34="RMC",(W34/VLOOKUP(BD34,CONDUITS!$A$8:$W$19,17)*100),IF(OR(AB34="PVC",AB34="CONDUIT FLEXIBLE"),(W34/VLOOKUP(BD34,CONDUITS!$A$8:$W$19,22)*100),"--")))),"--"),"NO")</f>
        <v>18.397371203383312</v>
      </c>
      <c r="AD34" s="1138" t="str">
        <f t="shared" si="34"/>
        <v>CP-10-MR-DT-58</v>
      </c>
      <c r="AE34" s="1135" t="str">
        <f>IF(OR(AW34="BANDEJA",AT34="SI"),IF((VLOOKUP(C34,'H2-CONDUCTORES DE BT'!$D$2:$BM$216,38,FALSE))="Monopolar",(IF(VLOOKUP(C34,'H2-CONDUCTORES DE BT'!$D$1:$BM$216,48,FALSE)="SI",(((VLOOKUP(C34,'H2-CONDUCTORES DE BT'!$D$2:$BM$216,37,FALSE))*(VLOOKUP(C34,'H2-CONDUCTORES DE BT'!$D$2:$BM$216,9,FALSE)))+(IF(AW34="BANDEJA",1*(IF(VLOOKUP(C34,'H2-CONDUCTORES DE BT'!$D$2:$BM$216,51,FALSE)="NO",1,VLOOKUP(C34,'H2-CONDUCTORES DE BT'!$D$2:$BM$216,50,FALSE))),((AO34)*(IF(VLOOKUP(C34,'H2-CONDUCTORES DE BT'!$D$2:$BM$216,51,FALSE)="NO",1,VLOOKUP(C34,'H2-CONDUCTORES DE BT'!$D$2:$BM$216,50,FALSE))))))+(IF(VLOOKUP(C34,'H2-CONDUCTORES DE BT'!$D$2:$BM$216,53,FALSE)="NO",0,VLOOKUP(C34,'H2-CONDUCTORES DE BT'!$D$2:$BM$216,37,FALSE))*(VLOOKUP(C34,'H2-CONDUCTORES DE BT'!$D$2:$BM$216,52,FALSE)))),   IF(VLOOKUP(C34,'H2-CONDUCTORES DE BT'!$D$1:$BM$216,48,FALSE)="NO",        (((VLOOKUP(C34,'H2-CONDUCTORES DE BT'!$D$2:$BM$216,37,FALSE))*(VLOOKUP(C34,'H2-CONDUCTORES DE BT'!$D$2:$BM$216,9,FALSE)))+(IF(VLOOKUP(C34,'H2-CONDUCTORES DE BT'!$D$2:$BM$216,53,FALSE)="NO",0,VLOOKUP(C34,'H2-CONDUCTORES DE BT'!$D$2:$BM$216,37,FALSE))*(VLOOKUP(C34,'H2-CONDUCTORES DE BT'!$D$2:$BM$216,52,FALSE)))), IF(AND(AW34="BANDEJA",VLOOKUP(C34,'H2-CONDUCTORES DE BT'!$D$1:$BM$216,48,FALSE)="NO"),VLOOKUP(C34,'H2-CONDUCTORES DE BT'!$D$2:$BM$216,24,FALSE),((VLOOKUP(C34,'H2-CONDUCTORES DE BT'!$D$2:$BM$216,37,FALSE))*(VLOOKUP(C34,'H2-CONDUCTORES DE BT'!$D$2:$BM$216,24,FALSE)))))    )),(MID(K34,1,1))+(IF(VLOOKUP(C34,'H2-CONDUCTORES DE BT'!$D$1:$BM$216,48,FALSE)="SI",VLOOKUP(C34,'H2-CONDUCTORES DE BT'!$D$2:$BM$216,50,FALSE),0))),"--")</f>
        <v>--</v>
      </c>
      <c r="AF34" s="1135" t="str">
        <f>IF($AI34="--","--",IF(AND($AZ34&gt;=11,$AZ34&lt;=14,$BA34&gt;=11,$BA34&lt;=14),'H2-CONDUCTORES DE BT'!$L25*'H2-CONDUCTORES DE BT'!$AN25*VLOOKUP($AZ34,CONDUCTORES!$A$9:$G$62,6,FALSE)+'H2-CONDUCTORES DE BT'!$BA25*VLOOKUP($BA34,CONDUCTORES!$A$9:$G$62,4,FALSE),
IF(AND($AZ34&gt;=11,$AZ34&lt;=14,$BA34&gt;=7,$BA34&lt;=10),'H2-CONDUCTORES DE BT'!$L25*'H2-CONDUCTORES DE BT'!$AN25*VLOOKUP($AZ34,CONDUCTORES!$A$9:$G$62,6,FALSE),"--")))</f>
        <v>--</v>
      </c>
      <c r="AG34" s="1139" t="str">
        <f>IF($AI34="--","--",IF(AND($AZ34&gt;=11,$AZ34&lt;=14,$BA34&gt;=7,$BA34&lt;=10),'H2-CONDUCTORES DE BT'!$BA25*VLOOKUP($BA34,CONDUCTORES!$A$9:$G$62,4,FALSE),
IF(AND($AZ34&gt;=7,$AZ34&lt;=10,$BA34&gt;=7,$BA34&lt;=10),'H2-CONDUCTORES DE BT'!$L25*'H2-CONDUCTORES DE BT'!$AN25*VLOOKUP($AZ34,CONDUCTORES!$A$9:$G$62,4,FALSE)+'H2-CONDUCTORES DE BT'!$BA25*VLOOKUP($BA34,CONDUCTORES!$A$9:$G$62,4,FALSE),
IF(AND($AZ34=15,$BA34&gt;=11,$BA34&lt;=14),'H2-CONDUCTORES DE BT'!$L25*'H2-CONDUCTORES DE BT'!$AN25*VLOOKUP($AZ34,CONDUCTORES!$A$9:$G$62,4,FALSE)+'H2-CONDUCTORES DE BT'!$BA25*VLOOKUP($BA34,CONDUCTORES!$A$9:$G$62,4,FALSE),
IF(AND($AZ34&gt;15,$BA34="  "),'H2-CONDUCTORES DE BT'!$L25*'H2-CONDUCTORES DE BT'!$AN25*VLOOKUP($AZ34,CONDUCTORES!$A$9:$G$62,4,FALSE),"--")))))</f>
        <v>--</v>
      </c>
      <c r="AH34" s="1139" t="str">
        <f t="shared" si="18"/>
        <v>--</v>
      </c>
      <c r="AI34" s="1139" t="str">
        <f t="shared" si="21"/>
        <v>--</v>
      </c>
      <c r="AJ34" s="1118" t="str">
        <f t="shared" si="19"/>
        <v>--</v>
      </c>
      <c r="AK34" s="1119" t="str">
        <f t="shared" si="20"/>
        <v>--</v>
      </c>
      <c r="AL34" s="1118" t="str">
        <f>IF(OR($AW34="BANDEJA",$AT34="SI"),IF($AI34="--","--",VLOOKUP(AI34,CONDUITS!$L$25:$Q$36,5,FALSE)*100/(AI34*10*100)),"--")</f>
        <v>--</v>
      </c>
      <c r="AM34" s="1140" t="str">
        <f t="shared" si="35"/>
        <v>--</v>
      </c>
      <c r="AN34" s="1142" t="str">
        <f t="shared" si="36"/>
        <v>--</v>
      </c>
      <c r="AO34" s="901">
        <v>1</v>
      </c>
      <c r="AP34" s="943" t="s">
        <v>648</v>
      </c>
      <c r="AQ34" s="944" t="s">
        <v>624</v>
      </c>
      <c r="AR34" s="902">
        <v>2</v>
      </c>
      <c r="AS34" s="945" t="s">
        <v>1158</v>
      </c>
      <c r="AT34" s="906" t="s">
        <v>605</v>
      </c>
      <c r="AU34" s="946" t="s">
        <v>599</v>
      </c>
      <c r="AV34" s="906" t="s">
        <v>605</v>
      </c>
      <c r="AW34" s="946" t="str">
        <f>+VLOOKUP(C34,'H2-CONDUCTORES DE BT'!$D$2:$BL$155,23,FALSE)</f>
        <v>BANCO DE DUCTOS</v>
      </c>
      <c r="AX34" s="903" t="str">
        <f>+VLOOKUP(C34,'H2-CONDUCTORES DE BT'!$D$2:$BL$155,36,FALSE)</f>
        <v>12 AWG</v>
      </c>
      <c r="AY34" s="947" t="str">
        <f>+(IF((VLOOKUP(C34,'H2-CONDUCTORES DE BT'!$D$2:$BL$155,40,FALSE))="Al",IF((VLOOKUP(C34,'H2-CONDUCTORES DE BT'!$D$2:$BL$155,51,FALSE))="No",LOOKUP((VLOOKUP(C34,'H2-CONDUCTORES DE BT'!$D$2:$BL$155,16,FALSE)),CONDUCTORES!$A$111:$A$131,CONDUCTORES!$C$111:$C$131),(VLOOKUP(C34,'H2-CONDUCTORES DE BT'!$D$2:$BL$155,51,FALSE))),IF((VLOOKUP(C34,'H2-CONDUCTORES DE BT'!$D$2:$BL$155,51,FALSE))="No",LOOKUP((VLOOKUP(C34,'H2-CONDUCTORES DE BT'!$D$2:$BL$155,16,FALSE)),CONDUCTORES!$A$111:$A$131,CONDUCTORES!$B$111:$B$131),(VLOOKUP(C34,'H2-CONDUCTORES DE BT'!$D$2:$BL$155,51,FALSE)))))</f>
        <v>12 AWG</v>
      </c>
      <c r="AZ34" s="948">
        <f>VLOOKUP(C34,'H2-CONDUCTORES DE BT'!$D$2:$CL$155,COLUMN('H2-CONDUCTORES DE BT'!BS7),FALSE)</f>
        <v>18</v>
      </c>
      <c r="BA34" s="947" t="str">
        <f>IF((VLOOKUP(C34,'H2-CONDUCTORES DE BT'!$D$2:$CL$155,38,FALSE))="Monopolar",VLOOKUP(AY34,CONDUCTORES!$B$9:$X$23,23,FALSE),IF(VLOOKUP(C34,'H2-CONDUCTORES DE BT'!$D$2:$CL$420,48,FALSE)="SI",VLOOKUP(AY34,CONDUCTORES!$B$9:$X$23,23,FALSE),"  "))</f>
        <v xml:space="preserve">  </v>
      </c>
      <c r="BB34" s="949" t="str">
        <f>IF(OR(AW34="BANDEJA",AT34="Si"),IF(AI34="--","  ",IF(OR(AZ34&lt;=10,BA34&lt;=10),(AG34*100)/(AI34*10),(AF34/(VLOOKUP(AI34,CONDUITS!$A$25:$B$37,2,FALSE)))*100)),"  ")</f>
        <v xml:space="preserve">  </v>
      </c>
      <c r="BC34" s="949" t="str">
        <f>IF(OR(AW34="BANDEJA",AT34="Si"),IF(AI34="--","  ",((AF34)/(VLOOKUP(AI34,CONDUITS!$A$25:$C$37,3,FALSE)))*100),"  ")</f>
        <v xml:space="preserve">  </v>
      </c>
      <c r="BD34" s="950">
        <f>(IF(OR(BA34&lt;&gt;"BANDEJA",AX34="Si"),IF(AB34="EMT",IF(AND(VLOOKUP(C34,'H2-CONDUCTORES DE BT'!$D$2:$CH$321,38,FALSE)="Multiconductor"),(IF(W34&lt;CONDUITS!$X$8,CONDUITS!$A$8,IF(W34&lt;CONDUITS!$X$9,CONDUITS!$A$9,IF(W34&lt;CONDUITS!$X$10,CONDUITS!$A$10,IF(W34&lt;CONDUITS!$X$11,CONDUITS!$A$11,IF(W34&lt;CONDUITS!$X$12,CONDUITS!$A$12,IF(W34&lt;CONDUITS!$X$13,CONDUITS!$A$13,IF(W34&lt;CONDUITS!$X$14,CONDUITS!$A$14,IF(W34&lt;CONDUITS!$X$15,CONDUITS!$A$15,IF(W34&lt;CONDUITS!$X$16,CONDUITS!$A$16,IF(W34&lt;CONDUITS!$X$17,CONDUITS!$A$17,IF(W34&lt;CONDUITS!$X$18,CONDUITS!$A$18,IF(W34&lt;CONDUITS!$X$19,CONDUITS!$A$19,CONDUITS!$A$17))))))))))))),(IF(W34&lt;CONDUITS!$F$8,CONDUITS!$A$8,IF(W34&lt;CONDUITS!$F$9,CONDUITS!$A$9,IF(W34&lt;CONDUITS!$F$10,CONDUITS!$A$10,IF(W34&lt;CONDUITS!$F$11,CONDUITS!$A$11,IF(W34&lt;CONDUITS!$F$12,CONDUITS!$A$12,IF(W34&lt;CONDUITS!$F$13,CONDUITS!$A$13,IF(W34&lt;CONDUITS!$F$14,CONDUITS!$A$14,IF(W34&lt;CONDUITS!$F$15,CONDUITS!$A$15,IF(W34&lt;CONDUITS!$F$16,CONDUITS!$A$16,IF(W34&lt;CONDUITS!$F$17,CONDUITS!$A$17,IF(W34&lt;CONDUITS!$F$18,CONDUITS!$A$18,IF(W34&lt;CONDUITS!$F$19,CONDUITS!$A$19,CONDUITS!$A$17)))))))))))))),           IF(AB34="IMC",IF(AND(VLOOKUP(C34,'H2-CONDUCTORES DE BT'!$D$2:$CH$321,38,FALSE)="Multiconductor"),(IF(W34&lt;CONDUITS!$Y$8,CONDUITS!$A$8,IF(W34&lt;CONDUITS!$Y$9,CONDUITS!$A$9,IF(W34&lt;CONDUITS!$Y$10,CONDUITS!$A$10,IF(W34&lt;CONDUITS!$Y$11,CONDUITS!$A$11,IF(W34&lt;CONDUITS!$Y$12,CONDUITS!$A$12,IF(W34&lt;CONDUITS!$Y$13,CONDUITS!$A$13,IF(W34&lt;CONDUITS!$Y$14,CONDUITS!$A$14,IF(W34&lt;CONDUITS!$Y$15,CONDUITS!$A$15,IF(W34&lt;CONDUITS!$Y$16,CONDUITS!$A$16,IF(W34&lt;CONDUITS!$Y$17,CONDUITS!$A$17,IF(W34&lt;CONDUITS!$Y$18,CONDUITS!$A$18,IF(W34&lt;CONDUITS!$Y$19,CONDUITS!$A$19,CONDUITS!$A$17))))))))))))),(IF(W34&lt;CONDUITS!$K$8,CONDUITS!$A$8,IF(W34&lt;CONDUITS!$K$9,CONDUITS!$A$9,IF(W34&lt;CONDUITS!$K$10,CONDUITS!$A$10,IF(W34&lt;CONDUITS!$K$11,CONDUITS!$A$11,IF(W34&lt;CONDUITS!$K$12,CONDUITS!$A$12,IF(W34&lt;CONDUITS!$K$13,CONDUITS!$A$13,IF(W34&lt;CONDUITS!$K$14,CONDUITS!$A$14,IF(W34&lt;CONDUITS!$K$15,CONDUITS!$A$15,IF(W34&lt;CONDUITS!$K$16,CONDUITS!$A$16,IF(W34&lt;CONDUITS!$K$17,CONDUITS!$A$17,IF(W34&lt;CONDUITS!$K$18,CONDUITS!$A$18,IF(W34&lt;CONDUITS!$K$19,CONDUITS!$A$19,CONDUITS!$A$17)))))))))))))),           IF(AB34="RMC",IF(AND(VLOOKUP(C34,'H2-CONDUCTORES DE BT'!$D$2:$CH$321,38,FALSE)="Multiconductor"),(IF(W34&lt;CONDUITS!$Z$8,CONDUITS!$A$8,IF(W34&lt;CONDUITS!$Z$9,CONDUITS!$A$9,IF(W34&lt;CONDUITS!$Z$10,CONDUITS!$A$10,IF(W34&lt;CONDUITS!$Z$11,CONDUITS!$A$11,IF(W34&lt;CONDUITS!$Z$12,CONDUITS!$A$12,IF(W34&lt;CONDUITS!$Z$13,CONDUITS!$A$13,IF(W34&lt;CONDUITS!$Z$14,CONDUITS!$A$14,IF(W34&lt;CONDUITS!$Z$15,CONDUITS!$A$15,IF(W34&lt;CONDUITS!$Z$16,CONDUITS!$A$16,IF(W34&lt;CONDUITS!$Z$17,CONDUITS!$A$17,IF(W34&lt;CONDUITS!$Z$18,CONDUITS!$A$18,IF(W34&lt;CONDUITS!$Z$19,CONDUITS!$A$19,CONDUITS!$A$17))))))))))))),(IF(W34&lt;CONDUITS!$P$8,CONDUITS!$A$8,IF(W34&lt;CONDUITS!$P$9,CONDUITS!$A$9,IF(W34&lt;CONDUITS!$P$10,CONDUITS!$A$10,IF(W34&lt;CONDUITS!$P$11,CONDUITS!$A$11,IF(W34&lt;CONDUITS!$P$12,CONDUITS!$A$12,IF(W34&lt;CONDUITS!$P$13,CONDUITS!$A$13,IF(W34&lt;CONDUITS!$P$14,CONDUITS!$A$14,IF(W34&lt;CONDUITS!$P$15,CONDUITS!$A$15,IF(W34&lt;CONDUITS!$P$16,CONDUITS!$A$16,IF(W34&lt;CONDUITS!$P$17,CONDUITS!$A$17,IF(W34&lt;CONDUITS!$P$18,CONDUITS!$A$18,IF(W34&lt;CONDUITS!$P$19,CONDUITS!$A$19,CONDUITS!$A$18)))))))))))))),IF(OR(AB34="PVC",AB34="CONDUIT FLEXIBLE"),IF(AND(VLOOKUP(C34,'H2-CONDUCTORES DE BT'!$D$2:$CH$321,38,FALSE)="Multiconductor"),(IF(W34&lt;CONDUITS!$AA$8,CONDUITS!$A$8,IF(W34&lt;CONDUITS!$AA$9,CONDUITS!$A$9,IF(W34&lt;CONDUITS!$AA$10,CONDUITS!$A$10,IF(W34&lt;CONDUITS!$AA$11,CONDUITS!$A$11,IF(W34&lt;CONDUITS!$AA$12,CONDUITS!$A$12,IF(W34&lt;CONDUITS!$AA$13,CONDUITS!$A$13,IF(W34&lt;CONDUITS!$AA$14,CONDUITS!$A$14,IF(W34&lt;CONDUITS!$AA$15,CONDUITS!$A$15,IF(W34&lt;CONDUITS!$AA$16,CONDUITS!$A$16,IF(W34&lt;CONDUITS!$AA$17,CONDUITS!$A$17,IF(W34&lt;CONDUITS!$AA$18,CONDUITS!$A$18,IF(W34&lt;CONDUITS!$AA$19,CONDUITS!$A$19,CONDUITS!$A$17))))))))))))),(IF(W34&lt;CONDUITS!$U$8,CONDUITS!$A$8,IF(W34&lt;CONDUITS!$U$9,CONDUITS!$A$9,IF(W34&lt;CONDUITS!$U$10,CONDUITS!$A$10,IF(W34&lt;CONDUITS!$U$11,CONDUITS!$A$11,IF(W34&lt;CONDUITS!$U$12,CONDUITS!$A$12,IF(W34&lt;CONDUITS!$U$13,CONDUITS!$A$13,IF(W34&lt;CONDUITS!$U$14,CONDUITS!$A$14,IF(W34&lt;CONDUITS!$U$15,CONDUITS!$A$15,IF(W34&lt;CONDUITS!$U$16,CONDUITS!$A$16,IF(W34&lt;CONDUITS!$U$17,CONDUITS!$A$17,IF(W34&lt;CONDUITS!$U$18,CONDUITS!$A$18,IF(W34&lt;CONDUITS!$U$19,CONDUITS!$A$19,CONDUITS!$A$18)))))))))))))),"NO")))),"  "))</f>
        <v>3</v>
      </c>
      <c r="BE34" s="937">
        <f t="shared" si="37"/>
        <v>2</v>
      </c>
      <c r="BF34" s="953" t="str">
        <f>IF(OR(AW34="BANDEJA",AT34="SI"),IF((VLOOKUP(C34,'H2-CONDUCTORES DE BT'!$D$2:$AW$216,38,FALSE))="Monopolar",(IF(VLOOKUP(C34,'H2-CONDUCTORES DE BT'!$D$1:$AY$216,48,FALSE)="SI",((((VLOOKUP(C34,'H2-CONDUCTORES DE BT'!$D$2:$BM$453,37,FALSE))*(VLOOKUP(C34,'H2-CONDUCTORES DE BT'!$D$2:$BM$473,24,FALSE))  )*(LOOKUP(AZ34,CONDUCTORES!$A$9:$A$62,CONDUCTORES!$D$9:$D$62)))+(IF(AW34="BANDEJA",0,VLOOKUP(C34,'H2-CONDUCTORES DE BT'!$D$2:$BM$473,37,FALSE))*(LOOKUP(BA34,CONDUCTORES!$A$9:$A$62,CONDUCTORES!$D$9:$D$62)))+(IF(VLOOKUP(C34,'H2-CONDUCTORES DE BT'!$D$2:$BM$473,53,FALSE)="NO",0,((VLOOKUP(C34,'H2-CONDUCTORES DE BT'!$D$2:$BM$473,37,FALSE))*(LOOKUP(BI34,CONDUCTORES!$A$9:$A$62,CONDUCTORES!$D$9:$D$62)))))),(   IF(AND(AW34="BANDEJA",VLOOKUP(C34,'H2-CONDUCTORES DE BT'!$D$1:$AY$216,47,FALSE)="NO"),VLOOKUP(C34,'H2-CONDUCTORES DE BT'!$D$2:$BM$473,24,FALSE), ((VLOOKUP(C34,'H2-CONDUCTORES DE BT'!$D$2:$BM$473,37,FALSE))*(VLOOKUP(C34,'H2-CONDUCTORES DE BT'!$D$2:$BM$473,24,FALSE))   ))  *(LOOKUP(AZ34,CONDUCTORES!$A$9:$A$62,CONDUCTORES!$D$9:$D$62))))),    (VLOOKUP(C34,'H2-CONDUCTORES DE BT'!$D$2:$BM$473,37,FALSE))*(LOOKUP(AZ34,CONDUCTORES!$A$9:$A$62,CONDUCTORES!$D$9:$D$62))+(IF(VLOOKUP(C34,'H2-CONDUCTORES DE BT'!$D$1:$AY$216,48,FALSE)="SI",((VLOOKUP(C34,'H2-CONDUCTORES DE BT'!$D$2:$BM$473,37,FALSE))*(LOOKUP(BA34,CONDUCTORES!$A$9:$A$62,CONDUCTORES!$D$9:$D$62))),))),"--")</f>
        <v>--</v>
      </c>
      <c r="BG34" s="951"/>
      <c r="BH34" s="952" t="str">
        <f>IF(VLOOKUP(C34,'H2-CONDUCTORES DE BT'!$D$2:$BL$420,53,FALSE)="NO","  ",VLOOKUP(C34,'H2-CONDUCTORES DE BT'!$D$2:$BL$420,53,FALSE))</f>
        <v xml:space="preserve">  </v>
      </c>
      <c r="BI34" s="1318" t="str">
        <f>+IF(BH34="  ","  ",VLOOKUP(BH34,CONDUCTORES!$B$9:$X$23,23,FALSE))</f>
        <v xml:space="preserve">  </v>
      </c>
      <c r="BJ34" s="464" t="str">
        <f>IF(VLOOKUP(C34,'H2-CONDUCTORES DE BT'!$D$2:$CH$321,38,FALSE)="Multiconductor","MULTI","MONO")</f>
        <v>MULTI</v>
      </c>
      <c r="BK34" s="1322"/>
      <c r="BL34" s="1322">
        <v>10</v>
      </c>
      <c r="BM34" s="1322">
        <f>+(LOOKUP(AZ34,CONDUCTORES!$A$9:$A$62,CONDUCTORES!$D$9:$D$62))</f>
        <v>10.5</v>
      </c>
      <c r="BN34" s="1322">
        <f t="shared" si="38"/>
        <v>105</v>
      </c>
      <c r="BO34" s="1322"/>
      <c r="BP34" s="1322">
        <f>+((((5)*(   IF(AS34="Horizontal","ss",IF(OR(VLOOKUP(C34,'H2-CONDUCTORES DE BT'!$D$2:$BM$473,24,FALSE)=3,VLOOKUP(C34,'H2-CONDUCTORES DE BT'!$D$2:$BM$473,24,FALSE)=6,VLOOKUP(C34,'H2-CONDUCTORES DE BT'!$D$2:$BM$473,24,FALSE)=9,VLOOKUP(C34,'H2-CONDUCTORES DE BT'!$D$2:$BM$473,24,FALSE)=12,VLOOKUP(C34,'H2-CONDUCTORES DE BT'!$D$2:$BM$473,24,FALSE)=15,VLOOKUP(C34,'H2-CONDUCTORES DE BT'!$D$2:$BM$473,24,FALSE)=18),((VLOOKUP(C34,'H2-CONDUCTORES DE BT'!$D$2:$BM$473,24,FALSE))-((15)/3)),"2") )   )  )*(29.41))+(0))</f>
        <v>-294.10000000000002</v>
      </c>
      <c r="BQ34" s="1322"/>
      <c r="BR34" s="1329" t="str">
        <f>IF(AI34="--","  ",IF(AZ34&lt;=10,('H2-CONDUCTORES DE BT'!$AA25*VLOOKUP(AZ34,CONDUCTORES!$A$9:$G$62,4,FALSE)*100)/(AI34*10),('H2-CONDUCTORES DE BT'!AA25*VLOOKUP(AZ34,CONDUCTORES!$A$9:$G$62,6,FALSE)*100)/VLOOKUP(AI34,CONDUITS!$L$25:$Q$36,4,FALSE)))</f>
        <v xml:space="preserve">  </v>
      </c>
      <c r="BS34" s="1329" t="str">
        <f>IF(AI34="--","  ",IF(OR(AZ34&lt;=10,BA34&lt;=10),(VLOOKUP(AI34,CONDUITS!$L$25:$Q$36,5,FALSE)-(28*'H2-CONDUCTORES DE BT'!$BA25*VLOOKUP(BA34,CONDUCTORES!$A$9:$G$62,4,FALSE)))*100/(AI34*10*100),VLOOKUP(AI34,CONDUITS!$L$25:$Q$36,5,FALSE)*100/(AI34*10*100)))</f>
        <v xml:space="preserve">  </v>
      </c>
      <c r="BT34" s="1322"/>
      <c r="BU34" s="1322"/>
      <c r="BV34" s="1322" t="str">
        <f>IF($AI34="--","  ",IF(AND($AZ34&lt;=10,$BA34&lt;=10),'H2-CONDUCTORES DE BT'!$AA25*VLOOKUP($AZ34,CONDUCTORES!$A$9:$G$62,4,FALSE),""))</f>
        <v xml:space="preserve">  </v>
      </c>
      <c r="BW34" s="1322" t="str">
        <f>+IF($AI34="--","  ",IF(AND($AZ34&lt;=10,$BA34&lt;=10),'H2-CONDUCTORES DE BT'!$BA25*VLOOKUP($BA34,CONDUCTORES!$A$9:$G$62,4,FALSE),""))</f>
        <v xml:space="preserve">  </v>
      </c>
      <c r="BX34" s="1322" t="str">
        <f t="shared" si="23"/>
        <v xml:space="preserve">  </v>
      </c>
      <c r="BY34" s="1322" t="str">
        <f t="shared" si="24"/>
        <v xml:space="preserve">  </v>
      </c>
      <c r="BZ34" s="1322" t="str">
        <f>IF($AI34="--","  ",IF(AND($AZ34&gt;10,$BA34&lt;=10),'H2-CONDUCTORES DE BT'!$AA25*VLOOKUP($AZ34,CONDUCTORES!$A$9:$G$62,6,FALSE),""))</f>
        <v xml:space="preserve">  </v>
      </c>
      <c r="CA34" s="1322" t="str">
        <f>IF($AI34="--","  ",IF(AND($AZ34&gt;10,$BA34&lt;=10),'H2-CONDUCTORES DE BT'!$BA25*VLOOKUP(BA34,CONDUCTORES!$A$9:$G$62,4,FALSE),""))</f>
        <v xml:space="preserve">  </v>
      </c>
      <c r="CB34" s="1322" t="str">
        <f t="shared" si="25"/>
        <v xml:space="preserve">  </v>
      </c>
      <c r="CC34" s="1322" t="str">
        <f>IF($AI34="--","  ",IF(AND($AZ34&gt;10,$BA34&lt;=10),VLOOKUP($AI34,CONDUITS!$L$25:$Q$36,4,FALSE),""))</f>
        <v xml:space="preserve">  </v>
      </c>
      <c r="CD34" s="1322" t="str">
        <f>IF($AI34="--","  ",IF(AND($AZ34&gt;10,$BA34&lt;=10),VLOOKUP($AI34,CONDUITS!$L$25:$Q$36,4,FALSE),""))</f>
        <v xml:space="preserve">  </v>
      </c>
      <c r="CE34" s="1329" t="str">
        <f t="shared" si="26"/>
        <v xml:space="preserve">  </v>
      </c>
      <c r="CF34" s="1322" t="str">
        <f>IF($AI34="--","  ",IF(AND($AZ34&gt;10,$BA34&gt;10),'H2-CONDUCTORES DE BT'!$AA25*VLOOKUP($AZ34,CONDUCTORES!$A$9:$G$62,6,FALSE),""))</f>
        <v xml:space="preserve">  </v>
      </c>
      <c r="CG34" s="1322">
        <f>IF(OR($AI34="--",$BA34="  "),0,IF(AND($AZ34&gt;10,$BA34&gt;10),'H2-CONDUCTORES DE BT'!$BA25*VLOOKUP($BA34,CONDUCTORES!$A$9:$G$62,4,FALSE),""))</f>
        <v>0</v>
      </c>
      <c r="CH34" s="1322" t="str">
        <f t="shared" si="27"/>
        <v xml:space="preserve">  </v>
      </c>
      <c r="CI34" s="1322" t="str">
        <f>IF($AI34="--","  ",IF(AND($AZ34&gt;10,$BA34&gt;10),VLOOKUP($AI34,CONDUITS!$L$25:$Q$36,5,FALSE),""))</f>
        <v xml:space="preserve">  </v>
      </c>
      <c r="CJ34" s="1329" t="str">
        <f t="shared" si="28"/>
        <v xml:space="preserve">  </v>
      </c>
      <c r="CK34" s="1329" t="str">
        <f t="shared" si="29"/>
        <v xml:space="preserve">  </v>
      </c>
    </row>
    <row r="35" spans="1:89" s="580" customFormat="1" ht="26.4" customHeight="1" x14ac:dyDescent="0.25">
      <c r="A35" s="1185">
        <f>IF(OR(BE35=0,BE35=1),0,COUNTIF(BE$26:BE35,BE35))</f>
        <v>8</v>
      </c>
      <c r="B35" s="1144" t="str">
        <f>+_xlfn.CONCAT($B$27,".",SUBTOTAL(103,$AO$28:AO35))</f>
        <v>4.2.8</v>
      </c>
      <c r="C35" s="1836" t="str">
        <f>+'H2-CONDUCTORES DE BT'!D25</f>
        <v>VFD-DT-97</v>
      </c>
      <c r="D35" s="1837"/>
      <c r="E35" s="1838"/>
      <c r="F35" s="1823" t="str">
        <f>+VLOOKUP(C35,'H2-CONDUCTORES DE BT'!$D$2:$BL$155,2,FALSE)</f>
        <v>VARIADOR DE FRECUENCIA (EXISTENTE)</v>
      </c>
      <c r="G35" s="1824"/>
      <c r="H35" s="1824"/>
      <c r="I35" s="1824"/>
      <c r="J35" s="1825"/>
      <c r="K35" s="1789" t="str">
        <f>+VLOOKUP(C35,'H2-CONDUCTORES DE BT'!$D$2:$BL$155,20,FALSE)</f>
        <v>1x[3x(1x1/0 AWG)] + 1x(1Gx4 AWG)</v>
      </c>
      <c r="L35" s="1789"/>
      <c r="M35" s="1789"/>
      <c r="N35" s="1789"/>
      <c r="O35" s="1789"/>
      <c r="P35" s="1816" t="str">
        <f>+VLOOKUP(C35,'H2-CONDUCTORES DE BT'!$D$2:$BL$155,19,FALSE)</f>
        <v>ALUMINIO, XHHW-2, 600 V, 90°C, Monopolar</v>
      </c>
      <c r="Q35" s="1817"/>
      <c r="R35" s="1817"/>
      <c r="S35" s="1817"/>
      <c r="T35" s="1817"/>
      <c r="U35" s="1818"/>
      <c r="V35" s="1132">
        <f>+VLOOKUP(C35,'H2-CONDUCTORES DE BT'!$D$2:$BM$166,4,FALSE)</f>
        <v>5</v>
      </c>
      <c r="W35" s="1133">
        <f t="shared" si="30"/>
        <v>405.62</v>
      </c>
      <c r="X35" s="1133">
        <f>IF(OR(AW35&lt;&gt;"BANDEJA",AT35="Si"),IF(VLOOKUP(C35,'H2-CONDUCTORES DE BT'!$D$2:$BM$166,46,FALSE)="Motor",LOOKUP(AZ35,CONDUCTORES!$A$9:$A$62,CONDUCTORES!$AA$9:$AA$62),IF((VLOOKUP(C35,'H2-CONDUCTORES DE BT'!$D$2:$BM$166,38,FALSE))="Monopolar",IF(AND(VLOOKUP(C35,'H2-CONDUCTORES DE BT'!$D$2:$BM$166,48,FALSE)="SI",VLOOKUP(C35,'H2-CONDUCTORES DE BT'!$D$2:$BM$450,53,FALSE)="No"), (((3)*(LOOKUP(AZ35,CONDUCTORES!$A$9:$A$62,CONDUCTORES!$F$9:$F$62)))+((IF((VLOOKUP(C35,'H2-CONDUCTORES DE BT'!$D$2:$BM$166,51,FALSE))&lt;&gt;"NO",VLOOKUP(C35,'H2-CONDUCTORES DE BT'!$D$2:$BM$166,50,FALSE),1))*(LOOKUP(BA35,CONDUCTORES!$A$9:$A$62,CONDUCTORES!$F$9:$F$62)))),IF(AND(VLOOKUP(C35,'H2-CONDUCTORES DE BT'!$D$2:$BM$166,48,FALSE)="SI",VLOOKUP(C35,'H2-CONDUCTORES DE BT'!$D$2:$BM$450,53,FALSE)&lt;&gt;"No"),  (((3)*(LOOKUP(AZ35,CONDUCTORES!$A$9:$A$62,CONDUCTORES!$F$9:$F$62)))+((IF((VLOOKUP(C35,'H2-CONDUCTORES DE BT'!$D$2:$BM$166,51,FALSE))&lt;&gt;"NO",VLOOKUP(C35,'H2-CONDUCTORES DE BT'!$D$2:$BM$166,50,FALSE),1))*(LOOKUP(BA35,CONDUCTORES!$A$9:$A$62,CONDUCTORES!$F$9:$F$62)))+((VLOOKUP(C35,'H2-CONDUCTORES DE BT'!$D$2:$BM$450,52,FALSE))*(LOOKUP(BI35,CONDUCTORES!$A$9:$A$62,CONDUCTORES!$F$9:$F$62)))),IF(AND(VLOOKUP(C35,'H2-CONDUCTORES DE BT'!$D$2:$BM$166,48,FALSE)="NO",VLOOKUP(C35,'H2-CONDUCTORES DE BT'!$D$2:$BM$450,53,FALSE)&lt;&gt;"No"),((3)*(LOOKUP(AZ35,CONDUCTORES!$A$9:$A$62,CONDUCTORES!$F$9:$F$62)))+((VLOOKUP(C35,'H2-CONDUCTORES DE BT'!$D$2:$BM$450,52,FALSE))*(LOOKUP(BI35,CONDUCTORES!$A$9:$A$62,CONDUCTORES!$F$9:$F$62))),((3)*(LOOKUP(AZ35,CONDUCTORES!$A$9:$A$62,CONDUCTORES!$F$9:$F$62)))))),(LOOKUP(AZ35,CONDUCTORES!$A$9:$A$62,CONDUCTORES!$F$9:$F$62)))),"--")</f>
        <v>405.62</v>
      </c>
      <c r="Y35" s="1133">
        <f t="shared" si="31"/>
        <v>405.62</v>
      </c>
      <c r="Z35" s="1134" t="str">
        <f>IF(OR(AW35&lt;&gt;"BANDEJA",AT35="Si"),IF(AB35="--","--",VLOOKUP(BD35,CONDUITS!$A$8:$C$19,3,FALSE)),"--")</f>
        <v>2"</v>
      </c>
      <c r="AA35" s="1135">
        <f t="shared" si="32"/>
        <v>1</v>
      </c>
      <c r="AB35" s="1136" t="str">
        <f t="shared" si="33"/>
        <v>PVC</v>
      </c>
      <c r="AC35" s="1115">
        <f>IF(MOD(MID(K35,1,1),IF(OR(AW35="BANDEJA",AW35="AÉREO"),1,AA35))=0,IF(OR(AW35&lt;&gt;"BANDEJA",AT35="Si"),IF(AB35="EMT",(W35/VLOOKUP(BD35,CONDUITS!$A$8:$W$19,7)*100),IF(AB35="IMC",(W35/VLOOKUP(BD35,CONDUITS!$A$8:$W$19,12)*100),IF(AB35="RMC",(W35/VLOOKUP(BD35,CONDUITS!$A$8:$W$19,17)*100),IF(OR(AB35="PVC",AB35="CONDUIT FLEXIBLE"),(W35/VLOOKUP(BD35,CONDUITS!$A$8:$W$19,22)*100),"--")))),"--"),"NO")</f>
        <v>15.918037302180958</v>
      </c>
      <c r="AD35" s="1138" t="str">
        <f t="shared" si="34"/>
        <v>CP-20-VFD-DT-97</v>
      </c>
      <c r="AE35" s="1135" t="str">
        <f>IF(OR(AW35="BANDEJA",AT35="SI"),IF((VLOOKUP(C35,'H2-CONDUCTORES DE BT'!$D$2:$BM$216,38,FALSE))="Monopolar",(IF(VLOOKUP(C35,'H2-CONDUCTORES DE BT'!$D$1:$BM$216,48,FALSE)="SI",(((VLOOKUP(C35,'H2-CONDUCTORES DE BT'!$D$2:$BM$216,37,FALSE))*(VLOOKUP(C35,'H2-CONDUCTORES DE BT'!$D$2:$BM$216,9,FALSE)))+(IF(AW35="BANDEJA",1*(IF(VLOOKUP(C35,'H2-CONDUCTORES DE BT'!$D$2:$BM$216,51,FALSE)="NO",1,VLOOKUP(C35,'H2-CONDUCTORES DE BT'!$D$2:$BM$216,50,FALSE))),((AO35)*(IF(VLOOKUP(C35,'H2-CONDUCTORES DE BT'!$D$2:$BM$216,51,FALSE)="NO",1,VLOOKUP(C35,'H2-CONDUCTORES DE BT'!$D$2:$BM$216,50,FALSE))))))+(IF(VLOOKUP(C35,'H2-CONDUCTORES DE BT'!$D$2:$BM$216,53,FALSE)="NO",0,VLOOKUP(C35,'H2-CONDUCTORES DE BT'!$D$2:$BM$216,37,FALSE))*(VLOOKUP(C35,'H2-CONDUCTORES DE BT'!$D$2:$BM$216,52,FALSE)))),   IF(VLOOKUP(C35,'H2-CONDUCTORES DE BT'!$D$1:$BM$216,48,FALSE)="NO",        (((VLOOKUP(C35,'H2-CONDUCTORES DE BT'!$D$2:$BM$216,37,FALSE))*(VLOOKUP(C35,'H2-CONDUCTORES DE BT'!$D$2:$BM$216,9,FALSE)))+(IF(VLOOKUP(C35,'H2-CONDUCTORES DE BT'!$D$2:$BM$216,53,FALSE)="NO",0,VLOOKUP(C35,'H2-CONDUCTORES DE BT'!$D$2:$BM$216,37,FALSE))*(VLOOKUP(C35,'H2-CONDUCTORES DE BT'!$D$2:$BM$216,52,FALSE)))), IF(AND(AW35="BANDEJA",VLOOKUP(C35,'H2-CONDUCTORES DE BT'!$D$1:$BM$216,48,FALSE)="NO"),VLOOKUP(C35,'H2-CONDUCTORES DE BT'!$D$2:$BM$216,24,FALSE),((VLOOKUP(C35,'H2-CONDUCTORES DE BT'!$D$2:$BM$216,37,FALSE))*(VLOOKUP(C35,'H2-CONDUCTORES DE BT'!$D$2:$BM$216,24,FALSE)))))    )),(MID(K35,1,1))+(IF(VLOOKUP(C35,'H2-CONDUCTORES DE BT'!$D$1:$BM$216,48,FALSE)="SI",VLOOKUP(C35,'H2-CONDUCTORES DE BT'!$D$2:$BM$216,50,FALSE),0))),"--")</f>
        <v>--</v>
      </c>
      <c r="AF35" s="1135" t="str">
        <f>IF($AI35="--","--",IF(AND($AZ35&gt;=11,$AZ35&lt;=14,$BA35&gt;=11,$BA35&lt;=14),'H2-CONDUCTORES DE BT'!$L26*'H2-CONDUCTORES DE BT'!$AN26*VLOOKUP($AZ35,CONDUCTORES!$A$9:$G$62,6,FALSE)+'H2-CONDUCTORES DE BT'!$BA26*VLOOKUP($BA35,CONDUCTORES!$A$9:$G$62,4,FALSE),
IF(AND($AZ35&gt;=11,$AZ35&lt;=14,$BA35&gt;=7,$BA35&lt;=10),'H2-CONDUCTORES DE BT'!$L26*'H2-CONDUCTORES DE BT'!$AN26*VLOOKUP($AZ35,CONDUCTORES!$A$9:$G$62,6,FALSE),"--")))</f>
        <v>--</v>
      </c>
      <c r="AG35" s="1139" t="str">
        <f>IF($AI35="--","--",IF(AND($AZ35&gt;=11,$AZ35&lt;=14,$BA35&gt;=7,$BA35&lt;=10),'H2-CONDUCTORES DE BT'!$BA26*VLOOKUP($BA35,CONDUCTORES!$A$9:$G$62,4,FALSE),
IF(AND($AZ35&gt;=7,$AZ35&lt;=10,$BA35&gt;=7,$BA35&lt;=10),'H2-CONDUCTORES DE BT'!$L26*'H2-CONDUCTORES DE BT'!$AN26*VLOOKUP($AZ35,CONDUCTORES!$A$9:$G$62,4,FALSE)+'H2-CONDUCTORES DE BT'!$BA26*VLOOKUP($BA35,CONDUCTORES!$A$9:$G$62,4,FALSE),
IF(AND($AZ35=15,$BA35&gt;=11,$BA35&lt;=14),'H2-CONDUCTORES DE BT'!$L26*'H2-CONDUCTORES DE BT'!$AN26*VLOOKUP($AZ35,CONDUCTORES!$A$9:$G$62,4,FALSE)+'H2-CONDUCTORES DE BT'!$BA26*VLOOKUP($BA35,CONDUCTORES!$A$9:$G$62,4,FALSE),
IF(AND($AZ35&gt;15,$BA35="  "),'H2-CONDUCTORES DE BT'!$L26*'H2-CONDUCTORES DE BT'!$AN26*VLOOKUP($AZ35,CONDUCTORES!$A$9:$G$62,4,FALSE),"--")))))</f>
        <v>--</v>
      </c>
      <c r="AH35" s="1139" t="str">
        <f t="shared" si="18"/>
        <v>--</v>
      </c>
      <c r="AI35" s="1139" t="str">
        <f t="shared" si="21"/>
        <v>--</v>
      </c>
      <c r="AJ35" s="1118" t="str">
        <f t="shared" si="19"/>
        <v>--</v>
      </c>
      <c r="AK35" s="1119" t="str">
        <f t="shared" si="20"/>
        <v>--</v>
      </c>
      <c r="AL35" s="1118" t="str">
        <f>IF(OR($AW35="BANDEJA",$AT35="SI"),IF($AI35="--","--",VLOOKUP(AI35,CONDUITS!$L$25:$Q$36,5,FALSE)*100/(AI35*10*100)),"--")</f>
        <v>--</v>
      </c>
      <c r="AM35" s="1140" t="str">
        <f t="shared" si="35"/>
        <v>--</v>
      </c>
      <c r="AN35" s="1142" t="str">
        <f t="shared" si="36"/>
        <v>--</v>
      </c>
      <c r="AO35" s="901">
        <v>1</v>
      </c>
      <c r="AP35" s="943" t="s">
        <v>648</v>
      </c>
      <c r="AQ35" s="944">
        <v>60</v>
      </c>
      <c r="AR35" s="902">
        <v>2</v>
      </c>
      <c r="AS35" s="945" t="s">
        <v>1158</v>
      </c>
      <c r="AT35" s="906" t="s">
        <v>605</v>
      </c>
      <c r="AU35" s="946" t="s">
        <v>1055</v>
      </c>
      <c r="AV35" s="906" t="s">
        <v>605</v>
      </c>
      <c r="AW35" s="946" t="str">
        <f>+VLOOKUP(C35,'H2-CONDUCTORES DE BT'!$D$2:$BL$155,23,FALSE)</f>
        <v>BANCO DE DUCTOS</v>
      </c>
      <c r="AX35" s="903" t="str">
        <f>+VLOOKUP(C35,'H2-CONDUCTORES DE BT'!$D$2:$BL$155,36,FALSE)</f>
        <v>1/0 AWG</v>
      </c>
      <c r="AY35" s="947" t="str">
        <f>+(IF((VLOOKUP(C35,'H2-CONDUCTORES DE BT'!$D$2:$BL$155,40,FALSE))="Al",IF((VLOOKUP(C35,'H2-CONDUCTORES DE BT'!$D$2:$BL$155,51,FALSE))="No",LOOKUP((VLOOKUP(C35,'H2-CONDUCTORES DE BT'!$D$2:$BL$155,16,FALSE)),CONDUCTORES!$A$111:$A$131,CONDUCTORES!$C$111:$C$131),(VLOOKUP(C35,'H2-CONDUCTORES DE BT'!$D$2:$BL$155,51,FALSE))),IF((VLOOKUP(C35,'H2-CONDUCTORES DE BT'!$D$2:$BL$155,51,FALSE))="No",LOOKUP((VLOOKUP(C35,'H2-CONDUCTORES DE BT'!$D$2:$BL$155,16,FALSE)),CONDUCTORES!$A$111:$A$131,CONDUCTORES!$B$111:$B$131),(VLOOKUP(C35,'H2-CONDUCTORES DE BT'!$D$2:$BL$155,51,FALSE)))))</f>
        <v>4 AWG</v>
      </c>
      <c r="AZ35" s="948">
        <f>VLOOKUP(C35,'H2-CONDUCTORES DE BT'!$D$2:$CL$155,COLUMN('H2-CONDUCTORES DE BT'!BS8),FALSE)</f>
        <v>7</v>
      </c>
      <c r="BA35" s="947">
        <f>IF((VLOOKUP(C35,'H2-CONDUCTORES DE BT'!$D$2:$CL$155,38,FALSE))="Monopolar",VLOOKUP(AY35,CONDUCTORES!$B$9:$X$23,23,FALSE),IF(VLOOKUP(C35,'H2-CONDUCTORES DE BT'!$D$2:$CL$420,48,FALSE)="SI",VLOOKUP(AY35,CONDUCTORES!$B$9:$X$23,23,FALSE),"  "))</f>
        <v>5</v>
      </c>
      <c r="BB35" s="949" t="str">
        <f>IF(OR(AW35="BANDEJA",AT35="Si"),IF(AI35="--","  ",IF(OR(AZ35&lt;=10,BA35&lt;=10),(AG35*100)/(AI35*10),(AF35/(VLOOKUP(AI35,CONDUITS!$A$25:$B$37,2,FALSE)))*100)),"  ")</f>
        <v xml:space="preserve">  </v>
      </c>
      <c r="BC35" s="949" t="str">
        <f>IF(OR(AW35="BANDEJA",AT35="Si"),IF(AI35="--","  ",((AF35)/(VLOOKUP(AI35,CONDUITS!$A$25:$C$37,3,FALSE)))*100),"  ")</f>
        <v xml:space="preserve">  </v>
      </c>
      <c r="BD35" s="950">
        <f>(IF(OR(BA35&lt;&gt;"BANDEJA",AX35="Si"),IF(AB35="EMT",IF(AND(VLOOKUP(C35,'H2-CONDUCTORES DE BT'!$D$2:$CH$321,38,FALSE)="Multiconductor"),(IF(W35&lt;CONDUITS!$X$8,CONDUITS!$A$8,IF(W35&lt;CONDUITS!$X$9,CONDUITS!$A$9,IF(W35&lt;CONDUITS!$X$10,CONDUITS!$A$10,IF(W35&lt;CONDUITS!$X$11,CONDUITS!$A$11,IF(W35&lt;CONDUITS!$X$12,CONDUITS!$A$12,IF(W35&lt;CONDUITS!$X$13,CONDUITS!$A$13,IF(W35&lt;CONDUITS!$X$14,CONDUITS!$A$14,IF(W35&lt;CONDUITS!$X$15,CONDUITS!$A$15,IF(W35&lt;CONDUITS!$X$16,CONDUITS!$A$16,IF(W35&lt;CONDUITS!$X$17,CONDUITS!$A$17,IF(W35&lt;CONDUITS!$X$18,CONDUITS!$A$18,IF(W35&lt;CONDUITS!$X$19,CONDUITS!$A$19,CONDUITS!$A$17))))))))))))),(IF(W35&lt;CONDUITS!$F$8,CONDUITS!$A$8,IF(W35&lt;CONDUITS!$F$9,CONDUITS!$A$9,IF(W35&lt;CONDUITS!$F$10,CONDUITS!$A$10,IF(W35&lt;CONDUITS!$F$11,CONDUITS!$A$11,IF(W35&lt;CONDUITS!$F$12,CONDUITS!$A$12,IF(W35&lt;CONDUITS!$F$13,CONDUITS!$A$13,IF(W35&lt;CONDUITS!$F$14,CONDUITS!$A$14,IF(W35&lt;CONDUITS!$F$15,CONDUITS!$A$15,IF(W35&lt;CONDUITS!$F$16,CONDUITS!$A$16,IF(W35&lt;CONDUITS!$F$17,CONDUITS!$A$17,IF(W35&lt;CONDUITS!$F$18,CONDUITS!$A$18,IF(W35&lt;CONDUITS!$F$19,CONDUITS!$A$19,CONDUITS!$A$17)))))))))))))),           IF(AB35="IMC",IF(AND(VLOOKUP(C35,'H2-CONDUCTORES DE BT'!$D$2:$CH$321,38,FALSE)="Multiconductor"),(IF(W35&lt;CONDUITS!$Y$8,CONDUITS!$A$8,IF(W35&lt;CONDUITS!$Y$9,CONDUITS!$A$9,IF(W35&lt;CONDUITS!$Y$10,CONDUITS!$A$10,IF(W35&lt;CONDUITS!$Y$11,CONDUITS!$A$11,IF(W35&lt;CONDUITS!$Y$12,CONDUITS!$A$12,IF(W35&lt;CONDUITS!$Y$13,CONDUITS!$A$13,IF(W35&lt;CONDUITS!$Y$14,CONDUITS!$A$14,IF(W35&lt;CONDUITS!$Y$15,CONDUITS!$A$15,IF(W35&lt;CONDUITS!$Y$16,CONDUITS!$A$16,IF(W35&lt;CONDUITS!$Y$17,CONDUITS!$A$17,IF(W35&lt;CONDUITS!$Y$18,CONDUITS!$A$18,IF(W35&lt;CONDUITS!$Y$19,CONDUITS!$A$19,CONDUITS!$A$17))))))))))))),(IF(W35&lt;CONDUITS!$K$8,CONDUITS!$A$8,IF(W35&lt;CONDUITS!$K$9,CONDUITS!$A$9,IF(W35&lt;CONDUITS!$K$10,CONDUITS!$A$10,IF(W35&lt;CONDUITS!$K$11,CONDUITS!$A$11,IF(W35&lt;CONDUITS!$K$12,CONDUITS!$A$12,IF(W35&lt;CONDUITS!$K$13,CONDUITS!$A$13,IF(W35&lt;CONDUITS!$K$14,CONDUITS!$A$14,IF(W35&lt;CONDUITS!$K$15,CONDUITS!$A$15,IF(W35&lt;CONDUITS!$K$16,CONDUITS!$A$16,IF(W35&lt;CONDUITS!$K$17,CONDUITS!$A$17,IF(W35&lt;CONDUITS!$K$18,CONDUITS!$A$18,IF(W35&lt;CONDUITS!$K$19,CONDUITS!$A$19,CONDUITS!$A$17)))))))))))))),           IF(AB35="RMC",IF(AND(VLOOKUP(C35,'H2-CONDUCTORES DE BT'!$D$2:$CH$321,38,FALSE)="Multiconductor"),(IF(W35&lt;CONDUITS!$Z$8,CONDUITS!$A$8,IF(W35&lt;CONDUITS!$Z$9,CONDUITS!$A$9,IF(W35&lt;CONDUITS!$Z$10,CONDUITS!$A$10,IF(W35&lt;CONDUITS!$Z$11,CONDUITS!$A$11,IF(W35&lt;CONDUITS!$Z$12,CONDUITS!$A$12,IF(W35&lt;CONDUITS!$Z$13,CONDUITS!$A$13,IF(W35&lt;CONDUITS!$Z$14,CONDUITS!$A$14,IF(W35&lt;CONDUITS!$Z$15,CONDUITS!$A$15,IF(W35&lt;CONDUITS!$Z$16,CONDUITS!$A$16,IF(W35&lt;CONDUITS!$Z$17,CONDUITS!$A$17,IF(W35&lt;CONDUITS!$Z$18,CONDUITS!$A$18,IF(W35&lt;CONDUITS!$Z$19,CONDUITS!$A$19,CONDUITS!$A$17))))))))))))),(IF(W35&lt;CONDUITS!$P$8,CONDUITS!$A$8,IF(W35&lt;CONDUITS!$P$9,CONDUITS!$A$9,IF(W35&lt;CONDUITS!$P$10,CONDUITS!$A$10,IF(W35&lt;CONDUITS!$P$11,CONDUITS!$A$11,IF(W35&lt;CONDUITS!$P$12,CONDUITS!$A$12,IF(W35&lt;CONDUITS!$P$13,CONDUITS!$A$13,IF(W35&lt;CONDUITS!$P$14,CONDUITS!$A$14,IF(W35&lt;CONDUITS!$P$15,CONDUITS!$A$15,IF(W35&lt;CONDUITS!$P$16,CONDUITS!$A$16,IF(W35&lt;CONDUITS!$P$17,CONDUITS!$A$17,IF(W35&lt;CONDUITS!$P$18,CONDUITS!$A$18,IF(W35&lt;CONDUITS!$P$19,CONDUITS!$A$19,CONDUITS!$A$18)))))))))))))),IF(OR(AB35="PVC",AB35="CONDUIT FLEXIBLE"),IF(AND(VLOOKUP(C35,'H2-CONDUCTORES DE BT'!$D$2:$CH$321,38,FALSE)="Multiconductor"),(IF(W35&lt;CONDUITS!$AA$8,CONDUITS!$A$8,IF(W35&lt;CONDUITS!$AA$9,CONDUITS!$A$9,IF(W35&lt;CONDUITS!$AA$10,CONDUITS!$A$10,IF(W35&lt;CONDUITS!$AA$11,CONDUITS!$A$11,IF(W35&lt;CONDUITS!$AA$12,CONDUITS!$A$12,IF(W35&lt;CONDUITS!$AA$13,CONDUITS!$A$13,IF(W35&lt;CONDUITS!$AA$14,CONDUITS!$A$14,IF(W35&lt;CONDUITS!$AA$15,CONDUITS!$A$15,IF(W35&lt;CONDUITS!$AA$16,CONDUITS!$A$16,IF(W35&lt;CONDUITS!$AA$17,CONDUITS!$A$17,IF(W35&lt;CONDUITS!$AA$18,CONDUITS!$A$18,IF(W35&lt;CONDUITS!$AA$19,CONDUITS!$A$19,CONDUITS!$A$17))))))))))))),(IF(W35&lt;CONDUITS!$U$8,CONDUITS!$A$8,IF(W35&lt;CONDUITS!$U$9,CONDUITS!$A$9,IF(W35&lt;CONDUITS!$U$10,CONDUITS!$A$10,IF(W35&lt;CONDUITS!$U$11,CONDUITS!$A$11,IF(W35&lt;CONDUITS!$U$12,CONDUITS!$A$12,IF(W35&lt;CONDUITS!$U$13,CONDUITS!$A$13,IF(W35&lt;CONDUITS!$U$14,CONDUITS!$A$14,IF(W35&lt;CONDUITS!$U$15,CONDUITS!$A$15,IF(W35&lt;CONDUITS!$U$16,CONDUITS!$A$16,IF(W35&lt;CONDUITS!$U$17,CONDUITS!$A$17,IF(W35&lt;CONDUITS!$U$18,CONDUITS!$A$18,IF(W35&lt;CONDUITS!$U$19,CONDUITS!$A$19,CONDUITS!$A$18)))))))))))))),"NO")))),"  "))</f>
        <v>6</v>
      </c>
      <c r="BE35" s="937">
        <f t="shared" si="37"/>
        <v>2</v>
      </c>
      <c r="BF35" s="953" t="str">
        <f>IF(OR(AW35="BANDEJA",AT35="SI"),IF((VLOOKUP(C35,'H2-CONDUCTORES DE BT'!$D$2:$AW$216,38,FALSE))="Monopolar",(IF(VLOOKUP(C35,'H2-CONDUCTORES DE BT'!$D$1:$AY$216,48,FALSE)="SI",((((VLOOKUP(C35,'H2-CONDUCTORES DE BT'!$D$2:$BM$453,37,FALSE))*(VLOOKUP(C35,'H2-CONDUCTORES DE BT'!$D$2:$BM$473,24,FALSE))  )*(LOOKUP(AZ35,CONDUCTORES!$A$9:$A$62,CONDUCTORES!$D$9:$D$62)))+(IF(AW35="BANDEJA",0,VLOOKUP(C35,'H2-CONDUCTORES DE BT'!$D$2:$BM$473,37,FALSE))*(LOOKUP(BA35,CONDUCTORES!$A$9:$A$62,CONDUCTORES!$D$9:$D$62)))+(IF(VLOOKUP(C35,'H2-CONDUCTORES DE BT'!$D$2:$BM$473,53,FALSE)="NO",0,((VLOOKUP(C35,'H2-CONDUCTORES DE BT'!$D$2:$BM$473,37,FALSE))*(LOOKUP(BI35,CONDUCTORES!$A$9:$A$62,CONDUCTORES!$D$9:$D$62)))))),(   IF(AND(AW35="BANDEJA",VLOOKUP(C35,'H2-CONDUCTORES DE BT'!$D$1:$AY$216,47,FALSE)="NO"),VLOOKUP(C35,'H2-CONDUCTORES DE BT'!$D$2:$BM$473,24,FALSE), ((VLOOKUP(C35,'H2-CONDUCTORES DE BT'!$D$2:$BM$473,37,FALSE))*(VLOOKUP(C35,'H2-CONDUCTORES DE BT'!$D$2:$BM$473,24,FALSE))   ))  *(LOOKUP(AZ35,CONDUCTORES!$A$9:$A$62,CONDUCTORES!$D$9:$D$62))))),    (VLOOKUP(C35,'H2-CONDUCTORES DE BT'!$D$2:$BM$473,37,FALSE))*(LOOKUP(AZ35,CONDUCTORES!$A$9:$A$62,CONDUCTORES!$D$9:$D$62))+(IF(VLOOKUP(C35,'H2-CONDUCTORES DE BT'!$D$1:$AY$216,48,FALSE)="SI",((VLOOKUP(C35,'H2-CONDUCTORES DE BT'!$D$2:$BM$473,37,FALSE))*(LOOKUP(BA35,CONDUCTORES!$A$9:$A$62,CONDUCTORES!$D$9:$D$62))),))),"--")</f>
        <v>--</v>
      </c>
      <c r="BG35" s="951"/>
      <c r="BH35" s="952" t="str">
        <f>IF(VLOOKUP(C35,'H2-CONDUCTORES DE BT'!$D$2:$BL$420,53,FALSE)="NO","  ",VLOOKUP(C35,'H2-CONDUCTORES DE BT'!$D$2:$BL$420,53,FALSE))</f>
        <v xml:space="preserve">  </v>
      </c>
      <c r="BI35" s="1318" t="str">
        <f>+IF(BH35="  ","  ",VLOOKUP(BH35,CONDUCTORES!$B$9:$X$23,23,FALSE))</f>
        <v xml:space="preserve">  </v>
      </c>
      <c r="BJ35" s="464" t="str">
        <f>IF(VLOOKUP(C35,'H2-CONDUCTORES DE BT'!$D$2:$CH$321,38,FALSE)="Multiconductor","MULTI","MONO")</f>
        <v>MONO</v>
      </c>
      <c r="BK35" s="1322"/>
      <c r="BL35" s="1322">
        <v>10</v>
      </c>
      <c r="BM35" s="1322">
        <f>+(LOOKUP(AZ35,CONDUCTORES!$A$9:$A$62,CONDUCTORES!$D$9:$D$62))</f>
        <v>12.24</v>
      </c>
      <c r="BN35" s="1322">
        <f t="shared" si="38"/>
        <v>122.4</v>
      </c>
      <c r="BO35" s="1322"/>
      <c r="BP35" s="1322">
        <f>+((((5)*(   IF(AS35="Horizontal","ss",IF(OR(VLOOKUP(C35,'H2-CONDUCTORES DE BT'!$D$2:$BM$473,24,FALSE)=3,VLOOKUP(C35,'H2-CONDUCTORES DE BT'!$D$2:$BM$473,24,FALSE)=6,VLOOKUP(C35,'H2-CONDUCTORES DE BT'!$D$2:$BM$473,24,FALSE)=9,VLOOKUP(C35,'H2-CONDUCTORES DE BT'!$D$2:$BM$473,24,FALSE)=12,VLOOKUP(C35,'H2-CONDUCTORES DE BT'!$D$2:$BM$473,24,FALSE)=15,VLOOKUP(C35,'H2-CONDUCTORES DE BT'!$D$2:$BM$473,24,FALSE)=18),((VLOOKUP(C35,'H2-CONDUCTORES DE BT'!$D$2:$BM$473,24,FALSE))-((15)/3)),"2") )   )  )*(29.41))+(0))</f>
        <v>-294.10000000000002</v>
      </c>
      <c r="BQ35" s="1322"/>
      <c r="BR35" s="1329" t="str">
        <f>IF(AI35="--","  ",IF(AZ35&lt;=10,('H2-CONDUCTORES DE BT'!$AA26*VLOOKUP(AZ35,CONDUCTORES!$A$9:$G$62,4,FALSE)*100)/(AI35*10),('H2-CONDUCTORES DE BT'!AA26*VLOOKUP(AZ35,CONDUCTORES!$A$9:$G$62,6,FALSE)*100)/VLOOKUP(AI35,CONDUITS!$L$25:$Q$36,4,FALSE)))</f>
        <v xml:space="preserve">  </v>
      </c>
      <c r="BS35" s="1329" t="str">
        <f>IF(AI35="--","  ",IF(OR(AZ35&lt;=10,BA35&lt;=10),(VLOOKUP(AI35,CONDUITS!$L$25:$Q$36,5,FALSE)-(28*'H2-CONDUCTORES DE BT'!$BA26*VLOOKUP(BA35,CONDUCTORES!$A$9:$G$62,4,FALSE)))*100/(AI35*10*100),VLOOKUP(AI35,CONDUITS!$L$25:$Q$36,5,FALSE)*100/(AI35*10*100)))</f>
        <v xml:space="preserve">  </v>
      </c>
      <c r="BT35" s="1322"/>
      <c r="BU35" s="1322"/>
      <c r="BV35" s="1322" t="str">
        <f>IF($AI35="--","  ",IF(AND($AZ35&lt;=10,$BA35&lt;=10),'H2-CONDUCTORES DE BT'!$AA26*VLOOKUP($AZ35,CONDUCTORES!$A$9:$G$62,4,FALSE),""))</f>
        <v xml:space="preserve">  </v>
      </c>
      <c r="BW35" s="1322" t="str">
        <f>+IF($AI35="--","  ",IF(AND($AZ35&lt;=10,$BA35&lt;=10),'H2-CONDUCTORES DE BT'!$BA26*VLOOKUP($BA35,CONDUCTORES!$A$9:$G$62,4,FALSE),""))</f>
        <v xml:space="preserve">  </v>
      </c>
      <c r="BX35" s="1322" t="str">
        <f t="shared" si="23"/>
        <v xml:space="preserve">  </v>
      </c>
      <c r="BY35" s="1322" t="str">
        <f t="shared" si="24"/>
        <v xml:space="preserve">  </v>
      </c>
      <c r="BZ35" s="1322" t="str">
        <f>IF($AI35="--","  ",IF(AND($AZ35&gt;10,$BA35&lt;=10),'H2-CONDUCTORES DE BT'!$AA26*VLOOKUP($AZ35,CONDUCTORES!$A$9:$G$62,6,FALSE),""))</f>
        <v xml:space="preserve">  </v>
      </c>
      <c r="CA35" s="1322" t="str">
        <f>IF($AI35="--","  ",IF(AND($AZ35&gt;10,$BA35&lt;=10),'H2-CONDUCTORES DE BT'!$BA26*VLOOKUP(BA35,CONDUCTORES!$A$9:$G$62,4,FALSE),""))</f>
        <v xml:space="preserve">  </v>
      </c>
      <c r="CB35" s="1322" t="str">
        <f t="shared" si="25"/>
        <v xml:space="preserve">  </v>
      </c>
      <c r="CC35" s="1322" t="str">
        <f>IF($AI35="--","  ",IF(AND($AZ35&gt;10,$BA35&lt;=10),VLOOKUP($AI35,CONDUITS!$L$25:$Q$36,4,FALSE),""))</f>
        <v xml:space="preserve">  </v>
      </c>
      <c r="CD35" s="1322" t="str">
        <f>IF($AI35="--","  ",IF(AND($AZ35&gt;10,$BA35&lt;=10),VLOOKUP($AI35,CONDUITS!$L$25:$Q$36,4,FALSE),""))</f>
        <v xml:space="preserve">  </v>
      </c>
      <c r="CE35" s="1329" t="str">
        <f t="shared" si="26"/>
        <v xml:space="preserve">  </v>
      </c>
      <c r="CF35" s="1322" t="str">
        <f>IF($AI35="--","  ",IF(AND($AZ35&gt;10,$BA35&gt;10),'H2-CONDUCTORES DE BT'!$AA26*VLOOKUP($AZ35,CONDUCTORES!$A$9:$G$62,6,FALSE),""))</f>
        <v xml:space="preserve">  </v>
      </c>
      <c r="CG35" s="1322">
        <f>IF(OR($AI35="--",$BA35="  "),0,IF(AND($AZ35&gt;10,$BA35&gt;10),'H2-CONDUCTORES DE BT'!$BA26*VLOOKUP($BA35,CONDUCTORES!$A$9:$G$62,4,FALSE),""))</f>
        <v>0</v>
      </c>
      <c r="CH35" s="1322" t="str">
        <f t="shared" si="27"/>
        <v xml:space="preserve">  </v>
      </c>
      <c r="CI35" s="1322" t="str">
        <f>IF($AI35="--","  ",IF(AND($AZ35&gt;10,$BA35&gt;10),VLOOKUP($AI35,CONDUITS!$L$25:$Q$36,5,FALSE),""))</f>
        <v xml:space="preserve">  </v>
      </c>
      <c r="CJ35" s="1329" t="str">
        <f t="shared" si="28"/>
        <v xml:space="preserve">  </v>
      </c>
      <c r="CK35" s="1329" t="str">
        <f t="shared" si="29"/>
        <v xml:space="preserve">  </v>
      </c>
    </row>
    <row r="36" spans="1:89" s="580" customFormat="1" ht="29.4" customHeight="1" x14ac:dyDescent="0.25">
      <c r="A36" s="1185">
        <f>IF(OR(BE36=0,BE36=1),0,COUNTIF(BE$26:BE36,BE36))</f>
        <v>9</v>
      </c>
      <c r="B36" s="1144" t="str">
        <f>+_xlfn.CONCAT($B$27,".",SUBTOTAL(103,$AO$28:AO36))</f>
        <v>4.2.9</v>
      </c>
      <c r="C36" s="1836" t="str">
        <f>+'H2-CONDUCTORES DE BT'!D26</f>
        <v>PCP-DT-97</v>
      </c>
      <c r="D36" s="1837"/>
      <c r="E36" s="1838"/>
      <c r="F36" s="1823" t="str">
        <f>+VLOOKUP(C36,'H2-CONDUCTORES DE BT'!$D$2:$BL$155,2,FALSE)</f>
        <v>MOTOR PCP (EXISTENTE)</v>
      </c>
      <c r="G36" s="1824"/>
      <c r="H36" s="1824"/>
      <c r="I36" s="1824"/>
      <c r="J36" s="1825"/>
      <c r="K36" s="1789" t="str">
        <f>+VLOOKUP(C36,'H2-CONDUCTORES DE BT'!$D$2:$BL$155,20,FALSE)</f>
        <v>1x[3x(1x1/0 AWG)] + 1x(1Gx4 AWG)</v>
      </c>
      <c r="L36" s="1789"/>
      <c r="M36" s="1789"/>
      <c r="N36" s="1789"/>
      <c r="O36" s="1789"/>
      <c r="P36" s="1816" t="str">
        <f>+VLOOKUP(C36,'H2-CONDUCTORES DE BT'!$D$2:$BL$155,19,FALSE)</f>
        <v>ALUMINIO, XHHW-2, 600 V, 90°C, Monopolar</v>
      </c>
      <c r="Q36" s="1817"/>
      <c r="R36" s="1817"/>
      <c r="S36" s="1817"/>
      <c r="T36" s="1817"/>
      <c r="U36" s="1818"/>
      <c r="V36" s="1132">
        <f>+VLOOKUP(C36,'H2-CONDUCTORES DE BT'!$D$2:$BM$166,4,FALSE)</f>
        <v>35</v>
      </c>
      <c r="W36" s="1133">
        <f t="shared" si="30"/>
        <v>405.62</v>
      </c>
      <c r="X36" s="1133">
        <f>IF(OR(AW36&lt;&gt;"BANDEJA",AT36="Si"),IF(VLOOKUP(C36,'H2-CONDUCTORES DE BT'!$D$2:$BM$166,46,FALSE)="Motor",LOOKUP(AZ36,CONDUCTORES!$A$9:$A$62,CONDUCTORES!$AA$9:$AA$62),IF((VLOOKUP(C36,'H2-CONDUCTORES DE BT'!$D$2:$BM$166,38,FALSE))="Monopolar",IF(AND(VLOOKUP(C36,'H2-CONDUCTORES DE BT'!$D$2:$BM$166,48,FALSE)="SI",VLOOKUP(C36,'H2-CONDUCTORES DE BT'!$D$2:$BM$450,53,FALSE)="No"), (((3)*(LOOKUP(AZ36,CONDUCTORES!$A$9:$A$62,CONDUCTORES!$F$9:$F$62)))+((IF((VLOOKUP(C36,'H2-CONDUCTORES DE BT'!$D$2:$BM$166,51,FALSE))&lt;&gt;"NO",VLOOKUP(C36,'H2-CONDUCTORES DE BT'!$D$2:$BM$166,50,FALSE),1))*(LOOKUP(BA36,CONDUCTORES!$A$9:$A$62,CONDUCTORES!$F$9:$F$62)))),IF(AND(VLOOKUP(C36,'H2-CONDUCTORES DE BT'!$D$2:$BM$166,48,FALSE)="SI",VLOOKUP(C36,'H2-CONDUCTORES DE BT'!$D$2:$BM$450,53,FALSE)&lt;&gt;"No"),  (((3)*(LOOKUP(AZ36,CONDUCTORES!$A$9:$A$62,CONDUCTORES!$F$9:$F$62)))+((IF((VLOOKUP(C36,'H2-CONDUCTORES DE BT'!$D$2:$BM$166,51,FALSE))&lt;&gt;"NO",VLOOKUP(C36,'H2-CONDUCTORES DE BT'!$D$2:$BM$166,50,FALSE),1))*(LOOKUP(BA36,CONDUCTORES!$A$9:$A$62,CONDUCTORES!$F$9:$F$62)))+((VLOOKUP(C36,'H2-CONDUCTORES DE BT'!$D$2:$BM$450,52,FALSE))*(LOOKUP(BI36,CONDUCTORES!$A$9:$A$62,CONDUCTORES!$F$9:$F$62)))),IF(AND(VLOOKUP(C36,'H2-CONDUCTORES DE BT'!$D$2:$BM$166,48,FALSE)="NO",VLOOKUP(C36,'H2-CONDUCTORES DE BT'!$D$2:$BM$450,53,FALSE)&lt;&gt;"No"),((3)*(LOOKUP(AZ36,CONDUCTORES!$A$9:$A$62,CONDUCTORES!$F$9:$F$62)))+((VLOOKUP(C36,'H2-CONDUCTORES DE BT'!$D$2:$BM$450,52,FALSE))*(LOOKUP(BI36,CONDUCTORES!$A$9:$A$62,CONDUCTORES!$F$9:$F$62))),((3)*(LOOKUP(AZ36,CONDUCTORES!$A$9:$A$62,CONDUCTORES!$F$9:$F$62)))))),(LOOKUP(AZ36,CONDUCTORES!$A$9:$A$62,CONDUCTORES!$F$9:$F$62)))),"--")</f>
        <v>405.62</v>
      </c>
      <c r="Y36" s="1133">
        <f t="shared" si="31"/>
        <v>405.62</v>
      </c>
      <c r="Z36" s="1134" t="str">
        <f>IF(OR(AW36&lt;&gt;"BANDEJA",AT36="Si"),IF(AB36="--","--",VLOOKUP(BD36,CONDUITS!$A$8:$C$19,3,FALSE)),"--")</f>
        <v>2"</v>
      </c>
      <c r="AA36" s="1135">
        <f t="shared" si="32"/>
        <v>1</v>
      </c>
      <c r="AB36" s="1136" t="str">
        <f t="shared" si="33"/>
        <v>PVC</v>
      </c>
      <c r="AC36" s="1115">
        <f>IF(MOD(MID(K36,1,1),IF(OR(AW36="BANDEJA",AW36="AÉREO"),1,AA36))=0,IF(OR(AW36&lt;&gt;"BANDEJA",AT36="Si"),IF(AB36="EMT",(W36/VLOOKUP(BD36,CONDUITS!$A$8:$W$19,7)*100),IF(AB36="IMC",(W36/VLOOKUP(BD36,CONDUITS!$A$8:$W$19,12)*100),IF(AB36="RMC",(W36/VLOOKUP(BD36,CONDUITS!$A$8:$W$19,17)*100),IF(OR(AB36="PVC",AB36="CONDUIT FLEXIBLE"),(W36/VLOOKUP(BD36,CONDUITS!$A$8:$W$19,22)*100),"--")))),"--"),"NO")</f>
        <v>15.918037302180958</v>
      </c>
      <c r="AD36" s="1138" t="str">
        <f t="shared" si="34"/>
        <v>CP-20-PCP-DT-97</v>
      </c>
      <c r="AE36" s="1135" t="str">
        <f>IF(OR(AW36="BANDEJA",AT36="SI"),IF((VLOOKUP(C36,'H2-CONDUCTORES DE BT'!$D$2:$BM$216,38,FALSE))="Monopolar",(IF(VLOOKUP(C36,'H2-CONDUCTORES DE BT'!$D$1:$BM$216,48,FALSE)="SI",(((VLOOKUP(C36,'H2-CONDUCTORES DE BT'!$D$2:$BM$216,37,FALSE))*(VLOOKUP(C36,'H2-CONDUCTORES DE BT'!$D$2:$BM$216,9,FALSE)))+(IF(AW36="BANDEJA",1*(IF(VLOOKUP(C36,'H2-CONDUCTORES DE BT'!$D$2:$BM$216,51,FALSE)="NO",1,VLOOKUP(C36,'H2-CONDUCTORES DE BT'!$D$2:$BM$216,50,FALSE))),((AO36)*(IF(VLOOKUP(C36,'H2-CONDUCTORES DE BT'!$D$2:$BM$216,51,FALSE)="NO",1,VLOOKUP(C36,'H2-CONDUCTORES DE BT'!$D$2:$BM$216,50,FALSE))))))+(IF(VLOOKUP(C36,'H2-CONDUCTORES DE BT'!$D$2:$BM$216,53,FALSE)="NO",0,VLOOKUP(C36,'H2-CONDUCTORES DE BT'!$D$2:$BM$216,37,FALSE))*(VLOOKUP(C36,'H2-CONDUCTORES DE BT'!$D$2:$BM$216,52,FALSE)))),   IF(VLOOKUP(C36,'H2-CONDUCTORES DE BT'!$D$1:$BM$216,48,FALSE)="NO",        (((VLOOKUP(C36,'H2-CONDUCTORES DE BT'!$D$2:$BM$216,37,FALSE))*(VLOOKUP(C36,'H2-CONDUCTORES DE BT'!$D$2:$BM$216,9,FALSE)))+(IF(VLOOKUP(C36,'H2-CONDUCTORES DE BT'!$D$2:$BM$216,53,FALSE)="NO",0,VLOOKUP(C36,'H2-CONDUCTORES DE BT'!$D$2:$BM$216,37,FALSE))*(VLOOKUP(C36,'H2-CONDUCTORES DE BT'!$D$2:$BM$216,52,FALSE)))), IF(AND(AW36="BANDEJA",VLOOKUP(C36,'H2-CONDUCTORES DE BT'!$D$1:$BM$216,48,FALSE)="NO"),VLOOKUP(C36,'H2-CONDUCTORES DE BT'!$D$2:$BM$216,24,FALSE),((VLOOKUP(C36,'H2-CONDUCTORES DE BT'!$D$2:$BM$216,37,FALSE))*(VLOOKUP(C36,'H2-CONDUCTORES DE BT'!$D$2:$BM$216,24,FALSE)))))    )),(MID(K36,1,1))+(IF(VLOOKUP(C36,'H2-CONDUCTORES DE BT'!$D$1:$BM$216,48,FALSE)="SI",VLOOKUP(C36,'H2-CONDUCTORES DE BT'!$D$2:$BM$216,50,FALSE),0))),"--")</f>
        <v>--</v>
      </c>
      <c r="AF36" s="1135" t="str">
        <f>IF($AI36="--","--",IF(AND($AZ36&gt;=11,$AZ36&lt;=14,$BA36&gt;=11,$BA36&lt;=14),'H2-CONDUCTORES DE BT'!#REF!*'H2-CONDUCTORES DE BT'!#REF!*VLOOKUP($AZ36,CONDUCTORES!$A$9:$G$62,6,FALSE)+'H2-CONDUCTORES DE BT'!#REF!*VLOOKUP($BA36,CONDUCTORES!$A$9:$G$62,4,FALSE),
IF(AND($AZ36&gt;=11,$AZ36&lt;=14,$BA36&gt;=7,$BA36&lt;=10),'H2-CONDUCTORES DE BT'!#REF!*'H2-CONDUCTORES DE BT'!#REF!*VLOOKUP($AZ36,CONDUCTORES!$A$9:$G$62,6,FALSE),"--")))</f>
        <v>--</v>
      </c>
      <c r="AG36" s="1139" t="str">
        <f>IF($AI36="--","--",IF(AND($AZ36&gt;=11,$AZ36&lt;=14,$BA36&gt;=7,$BA36&lt;=10),'H2-CONDUCTORES DE BT'!#REF!*VLOOKUP($BA36,CONDUCTORES!$A$9:$G$62,4,FALSE),
IF(AND($AZ36&gt;=7,$AZ36&lt;=10,$BA36&gt;=7,$BA36&lt;=10),'H2-CONDUCTORES DE BT'!#REF!*'H2-CONDUCTORES DE BT'!#REF!*VLOOKUP($AZ36,CONDUCTORES!$A$9:$G$62,4,FALSE)+'H2-CONDUCTORES DE BT'!#REF!*VLOOKUP($BA36,CONDUCTORES!$A$9:$G$62,4,FALSE),
IF(AND($AZ36=15,$BA36&gt;=11,$BA36&lt;=14),'H2-CONDUCTORES DE BT'!#REF!*'H2-CONDUCTORES DE BT'!#REF!*VLOOKUP($AZ36,CONDUCTORES!$A$9:$G$62,4,FALSE)+'H2-CONDUCTORES DE BT'!#REF!*VLOOKUP($BA36,CONDUCTORES!$A$9:$G$62,4,FALSE),
IF(AND($AZ36&gt;15,$BA36="  "),'H2-CONDUCTORES DE BT'!#REF!*'H2-CONDUCTORES DE BT'!#REF!*VLOOKUP($AZ36,CONDUCTORES!$A$9:$G$62,4,FALSE),"--")))))</f>
        <v>--</v>
      </c>
      <c r="AH36" s="1139" t="str">
        <f t="shared" si="18"/>
        <v>--</v>
      </c>
      <c r="AI36" s="1139" t="str">
        <f t="shared" si="21"/>
        <v>--</v>
      </c>
      <c r="AJ36" s="1118" t="str">
        <f t="shared" si="19"/>
        <v>--</v>
      </c>
      <c r="AK36" s="1119" t="str">
        <f t="shared" si="20"/>
        <v>--</v>
      </c>
      <c r="AL36" s="1118" t="str">
        <f>IF(OR($AW36="BANDEJA",$AT36="SI"),IF($AI36="--","--",VLOOKUP(AI36,CONDUITS!$L$25:$Q$36,5,FALSE)*100/(AI36*10*100)),"--")</f>
        <v>--</v>
      </c>
      <c r="AM36" s="1140" t="str">
        <f t="shared" si="35"/>
        <v>--</v>
      </c>
      <c r="AN36" s="1142" t="str">
        <f t="shared" si="36"/>
        <v>--</v>
      </c>
      <c r="AO36" s="901">
        <v>1</v>
      </c>
      <c r="AP36" s="943" t="s">
        <v>648</v>
      </c>
      <c r="AQ36" s="944" t="s">
        <v>624</v>
      </c>
      <c r="AR36" s="902">
        <v>2</v>
      </c>
      <c r="AS36" s="945" t="s">
        <v>1158</v>
      </c>
      <c r="AT36" s="906" t="s">
        <v>605</v>
      </c>
      <c r="AU36" s="946" t="s">
        <v>1055</v>
      </c>
      <c r="AV36" s="906" t="s">
        <v>605</v>
      </c>
      <c r="AW36" s="946" t="str">
        <f>+VLOOKUP(C36,'H2-CONDUCTORES DE BT'!$D$2:$BL$155,23,FALSE)</f>
        <v>BANCO DE DUCTOS</v>
      </c>
      <c r="AX36" s="903" t="str">
        <f>+VLOOKUP(C36,'H2-CONDUCTORES DE BT'!$D$2:$BL$155,36,FALSE)</f>
        <v>1/0 AWG</v>
      </c>
      <c r="AY36" s="947" t="str">
        <f>+(IF((VLOOKUP(C36,'H2-CONDUCTORES DE BT'!$D$2:$BL$155,40,FALSE))="Al",IF((VLOOKUP(C36,'H2-CONDUCTORES DE BT'!$D$2:$BL$155,51,FALSE))="No",LOOKUP((VLOOKUP(C36,'H2-CONDUCTORES DE BT'!$D$2:$BL$155,16,FALSE)),CONDUCTORES!$A$111:$A$131,CONDUCTORES!$C$111:$C$131),(VLOOKUP(C36,'H2-CONDUCTORES DE BT'!$D$2:$BL$155,51,FALSE))),IF((VLOOKUP(C36,'H2-CONDUCTORES DE BT'!$D$2:$BL$155,51,FALSE))="No",LOOKUP((VLOOKUP(C36,'H2-CONDUCTORES DE BT'!$D$2:$BL$155,16,FALSE)),CONDUCTORES!$A$111:$A$131,CONDUCTORES!$B$111:$B$131),(VLOOKUP(C36,'H2-CONDUCTORES DE BT'!$D$2:$BL$155,51,FALSE)))))</f>
        <v>4 AWG</v>
      </c>
      <c r="AZ36" s="948">
        <f>VLOOKUP(C36,'H2-CONDUCTORES DE BT'!$D$2:$CL$155,COLUMN('H2-CONDUCTORES DE BT'!BS9),FALSE)</f>
        <v>7</v>
      </c>
      <c r="BA36" s="947">
        <f>IF((VLOOKUP(C36,'H2-CONDUCTORES DE BT'!$D$2:$CL$155,38,FALSE))="Monopolar",VLOOKUP(AY36,CONDUCTORES!$B$9:$X$23,23,FALSE),IF(VLOOKUP(C36,'H2-CONDUCTORES DE BT'!$D$2:$CL$420,48,FALSE)="SI",VLOOKUP(AY36,CONDUCTORES!$B$9:$X$23,23,FALSE),"  "))</f>
        <v>5</v>
      </c>
      <c r="BB36" s="949" t="str">
        <f>IF(OR(AW36="BANDEJA",AT36="Si"),IF(AI36="--","  ",IF(OR(AZ36&lt;=10,BA36&lt;=10),(AG36*100)/(AI36*10),(AF36/(VLOOKUP(AI36,CONDUITS!$A$25:$B$37,2,FALSE)))*100)),"  ")</f>
        <v xml:space="preserve">  </v>
      </c>
      <c r="BC36" s="949" t="str">
        <f>IF(OR(AW36="BANDEJA",AT36="Si"),IF(AI36="--","  ",((AF36)/(VLOOKUP(AI36,CONDUITS!$A$25:$C$37,3,FALSE)))*100),"  ")</f>
        <v xml:space="preserve">  </v>
      </c>
      <c r="BD36" s="950">
        <f>(IF(OR(BA36&lt;&gt;"BANDEJA",AX36="Si"),IF(AB36="EMT",IF(AND(VLOOKUP(C36,'H2-CONDUCTORES DE BT'!$D$2:$CH$321,38,FALSE)="Multiconductor"),(IF(W36&lt;CONDUITS!$X$8,CONDUITS!$A$8,IF(W36&lt;CONDUITS!$X$9,CONDUITS!$A$9,IF(W36&lt;CONDUITS!$X$10,CONDUITS!$A$10,IF(W36&lt;CONDUITS!$X$11,CONDUITS!$A$11,IF(W36&lt;CONDUITS!$X$12,CONDUITS!$A$12,IF(W36&lt;CONDUITS!$X$13,CONDUITS!$A$13,IF(W36&lt;CONDUITS!$X$14,CONDUITS!$A$14,IF(W36&lt;CONDUITS!$X$15,CONDUITS!$A$15,IF(W36&lt;CONDUITS!$X$16,CONDUITS!$A$16,IF(W36&lt;CONDUITS!$X$17,CONDUITS!$A$17,IF(W36&lt;CONDUITS!$X$18,CONDUITS!$A$18,IF(W36&lt;CONDUITS!$X$19,CONDUITS!$A$19,CONDUITS!$A$17))))))))))))),(IF(W36&lt;CONDUITS!$F$8,CONDUITS!$A$8,IF(W36&lt;CONDUITS!$F$9,CONDUITS!$A$9,IF(W36&lt;CONDUITS!$F$10,CONDUITS!$A$10,IF(W36&lt;CONDUITS!$F$11,CONDUITS!$A$11,IF(W36&lt;CONDUITS!$F$12,CONDUITS!$A$12,IF(W36&lt;CONDUITS!$F$13,CONDUITS!$A$13,IF(W36&lt;CONDUITS!$F$14,CONDUITS!$A$14,IF(W36&lt;CONDUITS!$F$15,CONDUITS!$A$15,IF(W36&lt;CONDUITS!$F$16,CONDUITS!$A$16,IF(W36&lt;CONDUITS!$F$17,CONDUITS!$A$17,IF(W36&lt;CONDUITS!$F$18,CONDUITS!$A$18,IF(W36&lt;CONDUITS!$F$19,CONDUITS!$A$19,CONDUITS!$A$17)))))))))))))),           IF(AB36="IMC",IF(AND(VLOOKUP(C36,'H2-CONDUCTORES DE BT'!$D$2:$CH$321,38,FALSE)="Multiconductor"),(IF(W36&lt;CONDUITS!$Y$8,CONDUITS!$A$8,IF(W36&lt;CONDUITS!$Y$9,CONDUITS!$A$9,IF(W36&lt;CONDUITS!$Y$10,CONDUITS!$A$10,IF(W36&lt;CONDUITS!$Y$11,CONDUITS!$A$11,IF(W36&lt;CONDUITS!$Y$12,CONDUITS!$A$12,IF(W36&lt;CONDUITS!$Y$13,CONDUITS!$A$13,IF(W36&lt;CONDUITS!$Y$14,CONDUITS!$A$14,IF(W36&lt;CONDUITS!$Y$15,CONDUITS!$A$15,IF(W36&lt;CONDUITS!$Y$16,CONDUITS!$A$16,IF(W36&lt;CONDUITS!$Y$17,CONDUITS!$A$17,IF(W36&lt;CONDUITS!$Y$18,CONDUITS!$A$18,IF(W36&lt;CONDUITS!$Y$19,CONDUITS!$A$19,CONDUITS!$A$17))))))))))))),(IF(W36&lt;CONDUITS!$K$8,CONDUITS!$A$8,IF(W36&lt;CONDUITS!$K$9,CONDUITS!$A$9,IF(W36&lt;CONDUITS!$K$10,CONDUITS!$A$10,IF(W36&lt;CONDUITS!$K$11,CONDUITS!$A$11,IF(W36&lt;CONDUITS!$K$12,CONDUITS!$A$12,IF(W36&lt;CONDUITS!$K$13,CONDUITS!$A$13,IF(W36&lt;CONDUITS!$K$14,CONDUITS!$A$14,IF(W36&lt;CONDUITS!$K$15,CONDUITS!$A$15,IF(W36&lt;CONDUITS!$K$16,CONDUITS!$A$16,IF(W36&lt;CONDUITS!$K$17,CONDUITS!$A$17,IF(W36&lt;CONDUITS!$K$18,CONDUITS!$A$18,IF(W36&lt;CONDUITS!$K$19,CONDUITS!$A$19,CONDUITS!$A$17)))))))))))))),           IF(AB36="RMC",IF(AND(VLOOKUP(C36,'H2-CONDUCTORES DE BT'!$D$2:$CH$321,38,FALSE)="Multiconductor"),(IF(W36&lt;CONDUITS!$Z$8,CONDUITS!$A$8,IF(W36&lt;CONDUITS!$Z$9,CONDUITS!$A$9,IF(W36&lt;CONDUITS!$Z$10,CONDUITS!$A$10,IF(W36&lt;CONDUITS!$Z$11,CONDUITS!$A$11,IF(W36&lt;CONDUITS!$Z$12,CONDUITS!$A$12,IF(W36&lt;CONDUITS!$Z$13,CONDUITS!$A$13,IF(W36&lt;CONDUITS!$Z$14,CONDUITS!$A$14,IF(W36&lt;CONDUITS!$Z$15,CONDUITS!$A$15,IF(W36&lt;CONDUITS!$Z$16,CONDUITS!$A$16,IF(W36&lt;CONDUITS!$Z$17,CONDUITS!$A$17,IF(W36&lt;CONDUITS!$Z$18,CONDUITS!$A$18,IF(W36&lt;CONDUITS!$Z$19,CONDUITS!$A$19,CONDUITS!$A$17))))))))))))),(IF(W36&lt;CONDUITS!$P$8,CONDUITS!$A$8,IF(W36&lt;CONDUITS!$P$9,CONDUITS!$A$9,IF(W36&lt;CONDUITS!$P$10,CONDUITS!$A$10,IF(W36&lt;CONDUITS!$P$11,CONDUITS!$A$11,IF(W36&lt;CONDUITS!$P$12,CONDUITS!$A$12,IF(W36&lt;CONDUITS!$P$13,CONDUITS!$A$13,IF(W36&lt;CONDUITS!$P$14,CONDUITS!$A$14,IF(W36&lt;CONDUITS!$P$15,CONDUITS!$A$15,IF(W36&lt;CONDUITS!$P$16,CONDUITS!$A$16,IF(W36&lt;CONDUITS!$P$17,CONDUITS!$A$17,IF(W36&lt;CONDUITS!$P$18,CONDUITS!$A$18,IF(W36&lt;CONDUITS!$P$19,CONDUITS!$A$19,CONDUITS!$A$18)))))))))))))),IF(OR(AB36="PVC",AB36="CONDUIT FLEXIBLE"),IF(AND(VLOOKUP(C36,'H2-CONDUCTORES DE BT'!$D$2:$CH$321,38,FALSE)="Multiconductor"),(IF(W36&lt;CONDUITS!$AA$8,CONDUITS!$A$8,IF(W36&lt;CONDUITS!$AA$9,CONDUITS!$A$9,IF(W36&lt;CONDUITS!$AA$10,CONDUITS!$A$10,IF(W36&lt;CONDUITS!$AA$11,CONDUITS!$A$11,IF(W36&lt;CONDUITS!$AA$12,CONDUITS!$A$12,IF(W36&lt;CONDUITS!$AA$13,CONDUITS!$A$13,IF(W36&lt;CONDUITS!$AA$14,CONDUITS!$A$14,IF(W36&lt;CONDUITS!$AA$15,CONDUITS!$A$15,IF(W36&lt;CONDUITS!$AA$16,CONDUITS!$A$16,IF(W36&lt;CONDUITS!$AA$17,CONDUITS!$A$17,IF(W36&lt;CONDUITS!$AA$18,CONDUITS!$A$18,IF(W36&lt;CONDUITS!$AA$19,CONDUITS!$A$19,CONDUITS!$A$17))))))))))))),(IF(W36&lt;CONDUITS!$U$8,CONDUITS!$A$8,IF(W36&lt;CONDUITS!$U$9,CONDUITS!$A$9,IF(W36&lt;CONDUITS!$U$10,CONDUITS!$A$10,IF(W36&lt;CONDUITS!$U$11,CONDUITS!$A$11,IF(W36&lt;CONDUITS!$U$12,CONDUITS!$A$12,IF(W36&lt;CONDUITS!$U$13,CONDUITS!$A$13,IF(W36&lt;CONDUITS!$U$14,CONDUITS!$A$14,IF(W36&lt;CONDUITS!$U$15,CONDUITS!$A$15,IF(W36&lt;CONDUITS!$U$16,CONDUITS!$A$16,IF(W36&lt;CONDUITS!$U$17,CONDUITS!$A$17,IF(W36&lt;CONDUITS!$U$18,CONDUITS!$A$18,IF(W36&lt;CONDUITS!$U$19,CONDUITS!$A$19,CONDUITS!$A$18)))))))))))))),"NO")))),"  "))</f>
        <v>6</v>
      </c>
      <c r="BE36" s="937">
        <f t="shared" si="37"/>
        <v>2</v>
      </c>
      <c r="BF36" s="953" t="str">
        <f>IF(OR(AW36="BANDEJA",AT36="SI"),IF((VLOOKUP(C36,'H2-CONDUCTORES DE BT'!$D$2:$AW$216,38,FALSE))="Monopolar",(IF(VLOOKUP(C36,'H2-CONDUCTORES DE BT'!$D$1:$AY$216,48,FALSE)="SI",((((VLOOKUP(C36,'H2-CONDUCTORES DE BT'!$D$2:$BM$453,37,FALSE))*(VLOOKUP(C36,'H2-CONDUCTORES DE BT'!$D$2:$BM$473,24,FALSE))  )*(LOOKUP(AZ36,CONDUCTORES!$A$9:$A$62,CONDUCTORES!$D$9:$D$62)))+(IF(AW36="BANDEJA",0,VLOOKUP(C36,'H2-CONDUCTORES DE BT'!$D$2:$BM$473,37,FALSE))*(LOOKUP(BA36,CONDUCTORES!$A$9:$A$62,CONDUCTORES!$D$9:$D$62)))+(IF(VLOOKUP(C36,'H2-CONDUCTORES DE BT'!$D$2:$BM$473,53,FALSE)="NO",0,((VLOOKUP(C36,'H2-CONDUCTORES DE BT'!$D$2:$BM$473,37,FALSE))*(LOOKUP(BI36,CONDUCTORES!$A$9:$A$62,CONDUCTORES!$D$9:$D$62)))))),(   IF(AND(AW36="BANDEJA",VLOOKUP(C36,'H2-CONDUCTORES DE BT'!$D$1:$AY$216,47,FALSE)="NO"),VLOOKUP(C36,'H2-CONDUCTORES DE BT'!$D$2:$BM$473,24,FALSE), ((VLOOKUP(C36,'H2-CONDUCTORES DE BT'!$D$2:$BM$473,37,FALSE))*(VLOOKUP(C36,'H2-CONDUCTORES DE BT'!$D$2:$BM$473,24,FALSE))   ))  *(LOOKUP(AZ36,CONDUCTORES!$A$9:$A$62,CONDUCTORES!$D$9:$D$62))))),    (VLOOKUP(C36,'H2-CONDUCTORES DE BT'!$D$2:$BM$473,37,FALSE))*(LOOKUP(AZ36,CONDUCTORES!$A$9:$A$62,CONDUCTORES!$D$9:$D$62))+(IF(VLOOKUP(C36,'H2-CONDUCTORES DE BT'!$D$1:$AY$216,48,FALSE)="SI",((VLOOKUP(C36,'H2-CONDUCTORES DE BT'!$D$2:$BM$473,37,FALSE))*(LOOKUP(BA36,CONDUCTORES!$A$9:$A$62,CONDUCTORES!$D$9:$D$62))),))),"--")</f>
        <v>--</v>
      </c>
      <c r="BG36" s="951"/>
      <c r="BH36" s="952" t="str">
        <f>IF(VLOOKUP(C36,'H2-CONDUCTORES DE BT'!$D$2:$BL$420,53,FALSE)="NO","  ",VLOOKUP(C36,'H2-CONDUCTORES DE BT'!$D$2:$BL$420,53,FALSE))</f>
        <v xml:space="preserve">  </v>
      </c>
      <c r="BI36" s="1318" t="str">
        <f>+IF(BH36="  ","  ",VLOOKUP(BH36,CONDUCTORES!$B$9:$X$23,23,FALSE))</f>
        <v xml:space="preserve">  </v>
      </c>
      <c r="BJ36" s="464" t="str">
        <f>IF(VLOOKUP(C36,'H2-CONDUCTORES DE BT'!$D$2:$CH$321,38,FALSE)="Multiconductor","MULTI","MONO")</f>
        <v>MONO</v>
      </c>
      <c r="BK36" s="1322"/>
      <c r="BL36" s="1322">
        <v>10</v>
      </c>
      <c r="BM36" s="1322">
        <f>+(LOOKUP(AZ36,CONDUCTORES!$A$9:$A$62,CONDUCTORES!$D$9:$D$62))</f>
        <v>12.24</v>
      </c>
      <c r="BN36" s="1322">
        <f t="shared" si="38"/>
        <v>122.4</v>
      </c>
      <c r="BO36" s="1322"/>
      <c r="BP36" s="1322">
        <f>+((((5)*(   IF(AS36="Horizontal","ss",IF(OR(VLOOKUP(C36,'H2-CONDUCTORES DE BT'!$D$2:$BM$473,24,FALSE)=3,VLOOKUP(C36,'H2-CONDUCTORES DE BT'!$D$2:$BM$473,24,FALSE)=6,VLOOKUP(C36,'H2-CONDUCTORES DE BT'!$D$2:$BM$473,24,FALSE)=9,VLOOKUP(C36,'H2-CONDUCTORES DE BT'!$D$2:$BM$473,24,FALSE)=12,VLOOKUP(C36,'H2-CONDUCTORES DE BT'!$D$2:$BM$473,24,FALSE)=15,VLOOKUP(C36,'H2-CONDUCTORES DE BT'!$D$2:$BM$473,24,FALSE)=18),((VLOOKUP(C36,'H2-CONDUCTORES DE BT'!$D$2:$BM$473,24,FALSE))-((15)/3)),"2") )   )  )*(29.41))+(0))</f>
        <v>-294.10000000000002</v>
      </c>
      <c r="BQ36" s="1322"/>
      <c r="BR36" s="1329" t="str">
        <f>IF(AI36="--","  ",IF(AZ36&lt;=10,('H2-CONDUCTORES DE BT'!#REF!*VLOOKUP(AZ36,CONDUCTORES!$A$9:$G$62,4,FALSE)*100)/(AI36*10),('H2-CONDUCTORES DE BT'!#REF!*VLOOKUP(AZ36,CONDUCTORES!$A$9:$G$62,6,FALSE)*100)/VLOOKUP(AI36,CONDUITS!$L$25:$Q$36,4,FALSE)))</f>
        <v xml:space="preserve">  </v>
      </c>
      <c r="BS36" s="1329" t="str">
        <f>IF(AI36="--","  ",IF(OR(AZ36&lt;=10,BA36&lt;=10),(VLOOKUP(AI36,CONDUITS!$L$25:$Q$36,5,FALSE)-(28*'H2-CONDUCTORES DE BT'!#REF!*VLOOKUP(BA36,CONDUCTORES!$A$9:$G$62,4,FALSE)))*100/(AI36*10*100),VLOOKUP(AI36,CONDUITS!$L$25:$Q$36,5,FALSE)*100/(AI36*10*100)))</f>
        <v xml:space="preserve">  </v>
      </c>
      <c r="BT36" s="1322"/>
      <c r="BU36" s="1322"/>
      <c r="BV36" s="1322" t="str">
        <f>IF($AI36="--","  ",IF(AND($AZ36&lt;=10,$BA36&lt;=10),'H2-CONDUCTORES DE BT'!#REF!*VLOOKUP($AZ36,CONDUCTORES!$A$9:$G$62,4,FALSE),""))</f>
        <v xml:space="preserve">  </v>
      </c>
      <c r="BW36" s="1322" t="str">
        <f>+IF($AI36="--","  ",IF(AND($AZ36&lt;=10,$BA36&lt;=10),'H2-CONDUCTORES DE BT'!#REF!*VLOOKUP($BA36,CONDUCTORES!$A$9:$G$62,4,FALSE),""))</f>
        <v xml:space="preserve">  </v>
      </c>
      <c r="BX36" s="1322" t="str">
        <f t="shared" si="23"/>
        <v xml:space="preserve">  </v>
      </c>
      <c r="BY36" s="1322" t="str">
        <f t="shared" si="24"/>
        <v xml:space="preserve">  </v>
      </c>
      <c r="BZ36" s="1322" t="str">
        <f>IF($AI36="--","  ",IF(AND($AZ36&gt;10,$BA36&lt;=10),'H2-CONDUCTORES DE BT'!#REF!*VLOOKUP($AZ36,CONDUCTORES!$A$9:$G$62,6,FALSE),""))</f>
        <v xml:space="preserve">  </v>
      </c>
      <c r="CA36" s="1322" t="str">
        <f>IF($AI36="--","  ",IF(AND($AZ36&gt;10,$BA36&lt;=10),'H2-CONDUCTORES DE BT'!#REF!*VLOOKUP(BA36,CONDUCTORES!$A$9:$G$62,4,FALSE),""))</f>
        <v xml:space="preserve">  </v>
      </c>
      <c r="CB36" s="1322" t="str">
        <f t="shared" si="25"/>
        <v xml:space="preserve">  </v>
      </c>
      <c r="CC36" s="1322" t="str">
        <f>IF($AI36="--","  ",IF(AND($AZ36&gt;10,$BA36&lt;=10),VLOOKUP($AI36,CONDUITS!$L$25:$Q$36,4,FALSE),""))</f>
        <v xml:space="preserve">  </v>
      </c>
      <c r="CD36" s="1322" t="str">
        <f>IF($AI36="--","  ",IF(AND($AZ36&gt;10,$BA36&lt;=10),VLOOKUP($AI36,CONDUITS!$L$25:$Q$36,4,FALSE),""))</f>
        <v xml:space="preserve">  </v>
      </c>
      <c r="CE36" s="1329" t="str">
        <f t="shared" si="26"/>
        <v xml:space="preserve">  </v>
      </c>
      <c r="CF36" s="1322" t="str">
        <f>IF($AI36="--","  ",IF(AND($AZ36&gt;10,$BA36&gt;10),'H2-CONDUCTORES DE BT'!#REF!*VLOOKUP($AZ36,CONDUCTORES!$A$9:$G$62,6,FALSE),""))</f>
        <v xml:space="preserve">  </v>
      </c>
      <c r="CG36" s="1322">
        <f>IF(OR($AI36="--",$BA36="  "),0,IF(AND($AZ36&gt;10,$BA36&gt;10),'H2-CONDUCTORES DE BT'!#REF!*VLOOKUP($BA36,CONDUCTORES!$A$9:$G$62,4,FALSE),""))</f>
        <v>0</v>
      </c>
      <c r="CH36" s="1322" t="str">
        <f t="shared" si="27"/>
        <v xml:space="preserve">  </v>
      </c>
      <c r="CI36" s="1322" t="str">
        <f>IF($AI36="--","  ",IF(AND($AZ36&gt;10,$BA36&gt;10),VLOOKUP($AI36,CONDUITS!$L$25:$Q$36,5,FALSE),""))</f>
        <v xml:space="preserve">  </v>
      </c>
      <c r="CJ36" s="1329" t="str">
        <f t="shared" si="28"/>
        <v xml:space="preserve">  </v>
      </c>
      <c r="CK36" s="1329" t="str">
        <f t="shared" si="29"/>
        <v xml:space="preserve">  </v>
      </c>
    </row>
    <row r="37" spans="1:89" ht="18" customHeight="1" x14ac:dyDescent="0.25">
      <c r="A37" s="1314"/>
      <c r="B37" s="954"/>
      <c r="C37" s="954"/>
      <c r="D37" s="954"/>
      <c r="E37" s="954"/>
      <c r="F37" s="954"/>
      <c r="G37" s="954"/>
      <c r="H37" s="954"/>
      <c r="I37" s="954"/>
      <c r="J37" s="954"/>
      <c r="K37" s="954"/>
      <c r="L37" s="954"/>
      <c r="M37" s="954"/>
      <c r="N37" s="954"/>
      <c r="O37" s="954"/>
      <c r="P37" s="954"/>
      <c r="Q37" s="954"/>
      <c r="R37" s="954"/>
      <c r="S37" s="954"/>
      <c r="T37" s="954"/>
      <c r="U37" s="954"/>
      <c r="V37" s="955"/>
      <c r="W37" s="954"/>
      <c r="X37" s="954"/>
      <c r="Y37" s="954"/>
      <c r="Z37" s="954"/>
      <c r="AA37" s="954"/>
      <c r="AB37" s="956"/>
      <c r="AC37" s="954"/>
      <c r="AD37" s="954"/>
      <c r="AE37" s="924"/>
      <c r="AF37" s="924"/>
      <c r="AG37" s="924"/>
      <c r="AH37" s="924"/>
      <c r="AI37" s="924"/>
      <c r="AJ37" s="924"/>
      <c r="AK37" s="924"/>
      <c r="AL37" s="924"/>
      <c r="AM37" s="924"/>
      <c r="AN37" s="924"/>
      <c r="AO37" s="924"/>
      <c r="AP37" s="924"/>
      <c r="AQ37" s="924"/>
      <c r="AR37" s="924"/>
      <c r="AS37" s="924"/>
      <c r="AT37" s="924"/>
      <c r="AU37" s="954"/>
      <c r="AV37" s="954"/>
      <c r="AW37" s="954"/>
      <c r="AX37" s="957"/>
      <c r="AY37" s="924"/>
      <c r="AZ37" s="924"/>
      <c r="BA37" s="924"/>
      <c r="BB37" s="924"/>
      <c r="BC37" s="924"/>
      <c r="BD37" s="924"/>
      <c r="BE37" s="924"/>
      <c r="BF37" s="924"/>
      <c r="BG37" s="955"/>
      <c r="BH37" s="924"/>
    </row>
    <row r="38" spans="1:89" ht="35.1" customHeight="1" x14ac:dyDescent="0.3">
      <c r="A38" s="1835"/>
      <c r="B38" s="1835"/>
      <c r="C38" s="1835"/>
      <c r="D38" s="1835"/>
      <c r="E38" s="1835"/>
      <c r="F38" s="1835"/>
      <c r="G38" s="1835"/>
      <c r="H38" s="1835"/>
      <c r="I38" s="1835"/>
      <c r="J38" s="954"/>
      <c r="K38" s="954"/>
      <c r="L38" s="954"/>
      <c r="M38" s="954"/>
      <c r="N38" s="954"/>
      <c r="O38" s="954"/>
      <c r="P38" s="954"/>
      <c r="Q38" s="954"/>
      <c r="R38" s="954"/>
      <c r="S38" s="954"/>
      <c r="T38" s="954"/>
      <c r="U38" s="954"/>
      <c r="V38" s="955"/>
      <c r="W38" s="1377"/>
      <c r="X38" s="954"/>
      <c r="Y38" s="954"/>
      <c r="Z38" s="954"/>
      <c r="AA38" s="954"/>
      <c r="AB38" s="956"/>
      <c r="AC38" s="956"/>
      <c r="AD38" s="956"/>
      <c r="AE38" s="924"/>
      <c r="AF38" s="924"/>
      <c r="AG38" s="924"/>
      <c r="AH38" s="924"/>
      <c r="AI38" s="924"/>
      <c r="AJ38" s="924"/>
      <c r="AK38" s="924"/>
      <c r="AL38" s="924"/>
      <c r="AM38" s="924"/>
      <c r="AN38" s="924"/>
      <c r="AO38" s="924"/>
      <c r="AP38" s="924"/>
      <c r="AQ38" s="924"/>
      <c r="AR38" s="924"/>
      <c r="AS38" s="924"/>
      <c r="AT38" s="924"/>
      <c r="AU38" s="954"/>
      <c r="AV38" s="954"/>
      <c r="AW38" s="954"/>
      <c r="AX38" s="957"/>
      <c r="AY38" s="924"/>
      <c r="AZ38" s="924"/>
      <c r="BA38" s="924"/>
      <c r="BB38" s="924"/>
      <c r="BC38" s="924"/>
      <c r="BD38" s="924"/>
      <c r="BE38" s="937"/>
      <c r="BF38" s="942"/>
      <c r="BG38" s="955"/>
      <c r="BH38" s="924"/>
    </row>
    <row r="39" spans="1:89" ht="15.6" customHeight="1" x14ac:dyDescent="0.25">
      <c r="A39" s="1314"/>
      <c r="B39" s="958"/>
      <c r="C39" s="954"/>
      <c r="D39" s="954"/>
      <c r="E39" s="954"/>
      <c r="F39" s="954"/>
      <c r="G39" s="954"/>
      <c r="H39" s="954"/>
      <c r="I39" s="954"/>
      <c r="J39" s="954"/>
      <c r="K39" s="954"/>
      <c r="L39" s="954"/>
      <c r="M39" s="954"/>
      <c r="N39" s="954"/>
      <c r="O39" s="954"/>
      <c r="P39" s="954"/>
      <c r="Q39" s="954"/>
      <c r="R39" s="954"/>
      <c r="S39" s="954"/>
      <c r="T39" s="954"/>
      <c r="U39" s="954"/>
      <c r="V39" s="955"/>
      <c r="W39" s="954"/>
      <c r="X39" s="954"/>
      <c r="Y39" s="954"/>
      <c r="Z39" s="954"/>
      <c r="AA39" s="954"/>
      <c r="AB39" s="956"/>
      <c r="AC39" s="954"/>
      <c r="AD39" s="954"/>
      <c r="AE39" s="924"/>
      <c r="AF39" s="924"/>
      <c r="AG39" s="924"/>
      <c r="AH39" s="924"/>
      <c r="AI39" s="924"/>
      <c r="AJ39" s="924"/>
      <c r="AK39" s="924"/>
      <c r="AL39" s="924"/>
      <c r="AM39" s="924"/>
      <c r="AN39" s="924"/>
      <c r="AO39" s="924"/>
      <c r="AP39" s="924"/>
      <c r="AQ39" s="924"/>
      <c r="AR39" s="924"/>
      <c r="AS39" s="924"/>
      <c r="AT39" s="924"/>
      <c r="AU39" s="954"/>
      <c r="AV39" s="954"/>
      <c r="AW39" s="954"/>
      <c r="AX39" s="957"/>
      <c r="AY39" s="924"/>
      <c r="AZ39" s="924"/>
      <c r="BA39" s="924"/>
      <c r="BB39" s="924"/>
      <c r="BC39" s="924"/>
      <c r="BD39" s="924"/>
      <c r="BE39" s="924"/>
      <c r="BF39" s="924"/>
      <c r="BG39" s="955"/>
      <c r="BH39" s="924"/>
    </row>
    <row r="40" spans="1:89" ht="18" customHeight="1" x14ac:dyDescent="0.25">
      <c r="A40" s="1314"/>
      <c r="B40" s="954"/>
      <c r="C40" s="954"/>
      <c r="D40" s="954"/>
      <c r="E40" s="954"/>
      <c r="F40" s="954"/>
      <c r="G40" s="954"/>
      <c r="H40" s="954"/>
      <c r="I40" s="954"/>
      <c r="J40" s="954"/>
      <c r="K40" s="954"/>
      <c r="L40" s="954"/>
      <c r="M40" s="954"/>
      <c r="N40" s="954"/>
      <c r="O40" s="954"/>
      <c r="P40" s="954"/>
      <c r="Q40" s="954"/>
      <c r="R40" s="954"/>
      <c r="S40" s="954"/>
      <c r="T40" s="954"/>
      <c r="U40" s="954"/>
      <c r="V40" s="955"/>
      <c r="W40" s="954"/>
      <c r="X40" s="954"/>
      <c r="Y40" s="954"/>
      <c r="Z40" s="954"/>
      <c r="AA40" s="954"/>
      <c r="AB40" s="956"/>
      <c r="AC40" s="954"/>
      <c r="AD40" s="954"/>
      <c r="AE40" s="924"/>
      <c r="AF40" s="924"/>
      <c r="AG40" s="924"/>
      <c r="AH40" s="924"/>
      <c r="AI40" s="924"/>
      <c r="AJ40" s="924"/>
      <c r="AK40" s="924"/>
      <c r="AL40" s="924"/>
      <c r="AM40" s="924"/>
      <c r="AN40" s="924"/>
      <c r="AO40" s="924"/>
      <c r="AP40" s="924"/>
      <c r="AQ40" s="924"/>
      <c r="AR40" s="924"/>
      <c r="AS40" s="924"/>
      <c r="AT40" s="924"/>
      <c r="AU40" s="954"/>
      <c r="AV40" s="954"/>
      <c r="AW40" s="954"/>
      <c r="AX40" s="957"/>
      <c r="AY40" s="924"/>
      <c r="AZ40" s="924"/>
      <c r="BA40" s="924"/>
      <c r="BB40" s="924"/>
      <c r="BC40" s="924"/>
      <c r="BD40" s="924"/>
      <c r="BE40" s="924"/>
      <c r="BF40" s="924"/>
      <c r="BG40" s="955"/>
      <c r="BH40" s="924"/>
    </row>
    <row r="41" spans="1:89" ht="18" customHeight="1" x14ac:dyDescent="0.25">
      <c r="A41" s="1314"/>
      <c r="B41" s="954"/>
      <c r="C41" s="954"/>
      <c r="D41" s="954"/>
      <c r="E41" s="954"/>
      <c r="F41" s="954"/>
      <c r="G41" s="954"/>
      <c r="H41" s="954"/>
      <c r="I41" s="954"/>
      <c r="J41" s="954"/>
      <c r="K41" s="954"/>
      <c r="L41" s="954"/>
      <c r="M41" s="954"/>
      <c r="N41" s="954"/>
      <c r="O41" s="954"/>
      <c r="P41" s="954"/>
      <c r="Q41" s="954"/>
      <c r="R41" s="954"/>
      <c r="S41" s="954"/>
      <c r="T41" s="954"/>
      <c r="U41" s="954"/>
      <c r="V41" s="955"/>
      <c r="W41" s="954"/>
      <c r="X41" s="954"/>
      <c r="Y41" s="954"/>
      <c r="Z41" s="954"/>
      <c r="AA41" s="954"/>
      <c r="AB41" s="956"/>
      <c r="AC41" s="954"/>
      <c r="AD41" s="954"/>
      <c r="AE41" s="924"/>
      <c r="AF41" s="924"/>
      <c r="AG41" s="924"/>
      <c r="AH41" s="924"/>
      <c r="AI41" s="924"/>
      <c r="AJ41" s="924"/>
      <c r="AK41" s="924"/>
      <c r="AL41" s="924"/>
      <c r="AM41" s="924"/>
      <c r="AN41" s="924"/>
      <c r="AO41" s="924"/>
      <c r="AP41" s="924"/>
      <c r="AQ41" s="924"/>
      <c r="AR41" s="924"/>
      <c r="AS41" s="924"/>
      <c r="AT41" s="924"/>
      <c r="AU41" s="954"/>
      <c r="AV41" s="954"/>
      <c r="AW41" s="954"/>
      <c r="AX41" s="957"/>
      <c r="AY41" s="924"/>
      <c r="AZ41" s="924"/>
      <c r="BA41" s="924"/>
      <c r="BB41" s="924"/>
      <c r="BC41" s="924"/>
      <c r="BD41" s="924"/>
      <c r="BE41" s="924"/>
      <c r="BF41" s="924"/>
      <c r="BG41" s="955"/>
      <c r="BH41" s="924"/>
    </row>
    <row r="42" spans="1:89" ht="18" customHeight="1" x14ac:dyDescent="0.25">
      <c r="A42" s="1314"/>
      <c r="B42" s="954"/>
      <c r="C42" s="954"/>
      <c r="D42" s="954"/>
      <c r="E42" s="954"/>
      <c r="F42" s="954"/>
      <c r="G42" s="954"/>
      <c r="H42" s="954"/>
      <c r="I42" s="954"/>
      <c r="J42" s="954"/>
      <c r="K42" s="954"/>
      <c r="L42" s="954"/>
      <c r="M42" s="954"/>
      <c r="N42" s="954"/>
      <c r="O42" s="954"/>
      <c r="P42" s="954"/>
      <c r="Q42" s="954"/>
      <c r="R42" s="954"/>
      <c r="S42" s="954"/>
      <c r="T42" s="954"/>
      <c r="U42" s="954"/>
      <c r="V42" s="955"/>
      <c r="W42" s="954"/>
      <c r="X42" s="954"/>
      <c r="Y42" s="954"/>
      <c r="Z42" s="954"/>
      <c r="AA42" s="954"/>
      <c r="AB42" s="956"/>
      <c r="AC42" s="954"/>
      <c r="AD42" s="954"/>
      <c r="AE42" s="924"/>
      <c r="AF42" s="924"/>
      <c r="AG42" s="924"/>
      <c r="AH42" s="924"/>
      <c r="AI42" s="924"/>
      <c r="AJ42" s="924"/>
      <c r="AK42" s="924"/>
      <c r="AL42" s="924"/>
      <c r="AM42" s="924"/>
      <c r="AN42" s="924"/>
      <c r="AO42" s="924"/>
      <c r="AP42" s="924"/>
      <c r="AQ42" s="924"/>
      <c r="AR42" s="924"/>
      <c r="AS42" s="924"/>
      <c r="AT42" s="924"/>
      <c r="AU42" s="954"/>
      <c r="AV42" s="954"/>
      <c r="AW42" s="954"/>
      <c r="AX42" s="957"/>
      <c r="AY42" s="924"/>
      <c r="AZ42" s="924"/>
      <c r="BA42" s="924"/>
      <c r="BB42" s="924"/>
      <c r="BC42" s="924"/>
      <c r="BD42" s="924"/>
      <c r="BE42" s="924"/>
      <c r="BF42" s="924"/>
      <c r="BG42" s="955"/>
      <c r="BH42" s="924"/>
    </row>
    <row r="43" spans="1:89" ht="18" customHeight="1" x14ac:dyDescent="0.25">
      <c r="A43" s="1314"/>
      <c r="B43" s="954"/>
      <c r="C43" s="954"/>
      <c r="D43" s="954"/>
      <c r="E43" s="954"/>
      <c r="F43" s="954"/>
      <c r="G43" s="954"/>
      <c r="H43" s="954"/>
      <c r="I43" s="954"/>
      <c r="J43" s="954"/>
      <c r="K43" s="954"/>
      <c r="L43" s="954"/>
      <c r="M43" s="954"/>
      <c r="N43" s="954"/>
      <c r="O43" s="954"/>
      <c r="P43" s="954"/>
      <c r="Q43" s="954"/>
      <c r="R43" s="954"/>
      <c r="S43" s="954"/>
      <c r="T43" s="954"/>
      <c r="U43" s="954"/>
      <c r="V43" s="955"/>
      <c r="W43" s="954"/>
      <c r="X43" s="954"/>
      <c r="Y43" s="954"/>
      <c r="Z43" s="954"/>
      <c r="AA43" s="954"/>
      <c r="AB43" s="956"/>
      <c r="AC43" s="954"/>
      <c r="AD43" s="954"/>
      <c r="AE43" s="924"/>
      <c r="AF43" s="924"/>
      <c r="AG43" s="924"/>
      <c r="AH43" s="924"/>
      <c r="AI43" s="924"/>
      <c r="AJ43" s="924"/>
      <c r="AK43" s="924"/>
      <c r="AL43" s="924"/>
      <c r="AM43" s="924"/>
      <c r="AN43" s="924"/>
      <c r="AO43" s="924"/>
      <c r="AP43" s="924"/>
      <c r="AQ43" s="924"/>
      <c r="AR43" s="924"/>
      <c r="AS43" s="924"/>
      <c r="AT43" s="924"/>
      <c r="AU43" s="954"/>
      <c r="AV43" s="954"/>
      <c r="AW43" s="954"/>
      <c r="AX43" s="957"/>
      <c r="AY43" s="924"/>
      <c r="AZ43" s="924"/>
      <c r="BA43" s="924"/>
      <c r="BB43" s="924"/>
      <c r="BC43" s="924"/>
      <c r="BD43" s="924"/>
      <c r="BE43" s="924"/>
      <c r="BF43" s="924"/>
      <c r="BG43" s="955"/>
      <c r="BH43" s="924"/>
    </row>
    <row r="44" spans="1:89" ht="18" customHeight="1" x14ac:dyDescent="0.25">
      <c r="A44" s="1314"/>
      <c r="B44" s="954"/>
      <c r="C44" s="954"/>
      <c r="D44" s="954"/>
      <c r="E44" s="954"/>
      <c r="F44" s="954"/>
      <c r="G44" s="954"/>
      <c r="H44" s="954"/>
      <c r="I44" s="954"/>
      <c r="J44" s="954"/>
      <c r="K44" s="954"/>
      <c r="L44" s="954"/>
      <c r="M44" s="954"/>
      <c r="N44" s="954"/>
      <c r="O44" s="954"/>
      <c r="P44" s="954"/>
      <c r="Q44" s="954"/>
      <c r="R44" s="954"/>
      <c r="S44" s="954"/>
      <c r="T44" s="954"/>
      <c r="U44" s="954"/>
      <c r="V44" s="955"/>
      <c r="W44" s="954"/>
      <c r="X44" s="954"/>
      <c r="Y44" s="954"/>
      <c r="Z44" s="954"/>
      <c r="AA44" s="954"/>
      <c r="AB44" s="956"/>
      <c r="AC44" s="954"/>
      <c r="AD44" s="954"/>
      <c r="AE44" s="924"/>
      <c r="AF44" s="924"/>
      <c r="AG44" s="924"/>
      <c r="AH44" s="924"/>
      <c r="AI44" s="924"/>
      <c r="AJ44" s="924"/>
      <c r="AK44" s="924"/>
      <c r="AL44" s="924"/>
      <c r="AM44" s="924"/>
      <c r="AN44" s="924"/>
      <c r="AO44" s="924"/>
      <c r="AP44" s="924"/>
      <c r="AQ44" s="924"/>
      <c r="AR44" s="924"/>
      <c r="AS44" s="924"/>
      <c r="AT44" s="924"/>
      <c r="AU44" s="954"/>
      <c r="AV44" s="954"/>
      <c r="AW44" s="954"/>
      <c r="AX44" s="957"/>
      <c r="AY44" s="924"/>
      <c r="AZ44" s="924"/>
      <c r="BA44" s="924"/>
      <c r="BB44" s="924"/>
      <c r="BC44" s="924"/>
      <c r="BD44" s="924"/>
      <c r="BE44" s="924"/>
      <c r="BF44" s="924"/>
      <c r="BG44" s="955"/>
      <c r="BH44" s="924"/>
    </row>
    <row r="45" spans="1:89" ht="18" customHeight="1" x14ac:dyDescent="0.25">
      <c r="A45" s="1314"/>
      <c r="B45" s="954"/>
      <c r="C45" s="954"/>
      <c r="D45" s="954"/>
      <c r="E45" s="954"/>
      <c r="F45" s="954"/>
      <c r="G45" s="954"/>
      <c r="H45" s="954"/>
      <c r="I45" s="954"/>
      <c r="J45" s="954"/>
      <c r="K45" s="954"/>
      <c r="L45" s="954"/>
      <c r="M45" s="954"/>
      <c r="N45" s="954"/>
      <c r="O45" s="954"/>
      <c r="P45" s="954"/>
      <c r="Q45" s="954"/>
      <c r="R45" s="954"/>
      <c r="S45" s="954"/>
      <c r="T45" s="954"/>
      <c r="U45" s="954"/>
      <c r="V45" s="955"/>
      <c r="W45" s="954"/>
      <c r="X45" s="954"/>
      <c r="Y45" s="954"/>
      <c r="Z45" s="954"/>
      <c r="AA45" s="954"/>
      <c r="AB45" s="956"/>
      <c r="AC45" s="954"/>
      <c r="AD45" s="954"/>
      <c r="AE45" s="924"/>
      <c r="AF45" s="924"/>
      <c r="AG45" s="924"/>
      <c r="AH45" s="924"/>
      <c r="AI45" s="924"/>
      <c r="AJ45" s="924"/>
      <c r="AK45" s="924"/>
      <c r="AL45" s="924"/>
      <c r="AM45" s="924"/>
      <c r="AN45" s="924"/>
      <c r="AO45" s="924"/>
      <c r="AP45" s="924"/>
      <c r="AQ45" s="924"/>
      <c r="AR45" s="924"/>
      <c r="AS45" s="924"/>
      <c r="AT45" s="924"/>
      <c r="AU45" s="954"/>
      <c r="AV45" s="954"/>
      <c r="AW45" s="954"/>
      <c r="AX45" s="957"/>
      <c r="AY45" s="924"/>
      <c r="AZ45" s="924"/>
      <c r="BA45" s="924"/>
      <c r="BB45" s="924"/>
      <c r="BC45" s="924"/>
      <c r="BD45" s="924"/>
      <c r="BE45" s="924"/>
      <c r="BF45" s="924"/>
      <c r="BG45" s="955"/>
      <c r="BH45" s="924"/>
    </row>
    <row r="46" spans="1:89" ht="18" customHeight="1" x14ac:dyDescent="0.25">
      <c r="A46" s="1314"/>
      <c r="B46" s="954"/>
      <c r="C46" s="954"/>
      <c r="D46" s="954"/>
      <c r="E46" s="954"/>
      <c r="F46" s="954"/>
      <c r="G46" s="954"/>
      <c r="H46" s="954"/>
      <c r="I46" s="954"/>
      <c r="J46" s="954"/>
      <c r="K46" s="954"/>
      <c r="L46" s="954"/>
      <c r="M46" s="954"/>
      <c r="N46" s="954"/>
      <c r="O46" s="954"/>
      <c r="P46" s="954"/>
      <c r="Q46" s="954"/>
      <c r="R46" s="954"/>
      <c r="S46" s="954"/>
      <c r="T46" s="954"/>
      <c r="U46" s="954"/>
      <c r="V46" s="955"/>
      <c r="W46" s="954"/>
      <c r="X46" s="954"/>
      <c r="Y46" s="954"/>
      <c r="Z46" s="954"/>
      <c r="AA46" s="954"/>
      <c r="AB46" s="956"/>
      <c r="AC46" s="954"/>
      <c r="AD46" s="954"/>
      <c r="AE46" s="924"/>
      <c r="AF46" s="924"/>
      <c r="AG46" s="924"/>
      <c r="AH46" s="924"/>
      <c r="AI46" s="924"/>
      <c r="AJ46" s="924"/>
      <c r="AK46" s="924"/>
      <c r="AL46" s="924"/>
      <c r="AM46" s="924"/>
      <c r="AN46" s="924"/>
      <c r="AO46" s="924"/>
      <c r="AP46" s="924"/>
      <c r="AQ46" s="924"/>
      <c r="AR46" s="924"/>
      <c r="AS46" s="924"/>
      <c r="AT46" s="924"/>
      <c r="AU46" s="954"/>
      <c r="AV46" s="954"/>
      <c r="AW46" s="954"/>
      <c r="AX46" s="957"/>
      <c r="AY46" s="924"/>
      <c r="AZ46" s="924"/>
      <c r="BA46" s="924"/>
      <c r="BB46" s="924"/>
      <c r="BC46" s="924"/>
      <c r="BD46" s="924"/>
      <c r="BE46" s="924"/>
      <c r="BF46" s="924"/>
      <c r="BG46" s="955"/>
      <c r="BH46" s="924"/>
    </row>
    <row r="47" spans="1:89" ht="18" customHeight="1" x14ac:dyDescent="0.25">
      <c r="A47" s="1314"/>
      <c r="B47" s="954"/>
      <c r="C47" s="954"/>
      <c r="D47" s="954"/>
      <c r="E47" s="954"/>
      <c r="F47" s="954"/>
      <c r="G47" s="954"/>
      <c r="H47" s="954"/>
      <c r="I47" s="954"/>
      <c r="J47" s="954"/>
      <c r="K47" s="954"/>
      <c r="L47" s="954"/>
      <c r="M47" s="954"/>
      <c r="N47" s="954"/>
      <c r="O47" s="954"/>
      <c r="P47" s="954"/>
      <c r="Q47" s="954"/>
      <c r="R47" s="954"/>
      <c r="S47" s="954"/>
      <c r="T47" s="954"/>
      <c r="U47" s="954"/>
      <c r="V47" s="955"/>
      <c r="W47" s="954"/>
      <c r="X47" s="954"/>
      <c r="Y47" s="954"/>
      <c r="Z47" s="954"/>
      <c r="AA47" s="954"/>
      <c r="AB47" s="956"/>
      <c r="AC47" s="954"/>
      <c r="AD47" s="954"/>
      <c r="AE47" s="924"/>
      <c r="AF47" s="924"/>
      <c r="AG47" s="924"/>
      <c r="AH47" s="924"/>
      <c r="AI47" s="924"/>
      <c r="AJ47" s="924"/>
      <c r="AK47" s="924"/>
      <c r="AL47" s="924"/>
      <c r="AM47" s="924"/>
      <c r="AN47" s="924"/>
      <c r="AO47" s="924"/>
      <c r="AP47" s="924"/>
      <c r="AQ47" s="924"/>
      <c r="AR47" s="924"/>
      <c r="AS47" s="924"/>
      <c r="AT47" s="924"/>
      <c r="AU47" s="954"/>
      <c r="AV47" s="954"/>
      <c r="AW47" s="954"/>
      <c r="AX47" s="957"/>
      <c r="AY47" s="924"/>
      <c r="AZ47" s="924"/>
      <c r="BA47" s="924"/>
      <c r="BB47" s="924"/>
      <c r="BC47" s="924"/>
      <c r="BD47" s="924"/>
      <c r="BE47" s="924"/>
      <c r="BF47" s="924"/>
      <c r="BG47" s="955"/>
      <c r="BH47" s="924"/>
    </row>
    <row r="48" spans="1:89" ht="18" customHeight="1" x14ac:dyDescent="0.25">
      <c r="A48" s="1314"/>
      <c r="B48" s="954"/>
      <c r="C48" s="954"/>
      <c r="D48" s="954"/>
      <c r="E48" s="954"/>
      <c r="F48" s="954"/>
      <c r="G48" s="954"/>
      <c r="H48" s="954"/>
      <c r="I48" s="954"/>
      <c r="J48" s="954"/>
      <c r="K48" s="954"/>
      <c r="L48" s="954"/>
      <c r="M48" s="954"/>
      <c r="N48" s="954"/>
      <c r="O48" s="954"/>
      <c r="P48" s="954"/>
      <c r="Q48" s="954"/>
      <c r="R48" s="954"/>
      <c r="S48" s="954"/>
      <c r="T48" s="954"/>
      <c r="U48" s="954"/>
      <c r="V48" s="955"/>
      <c r="W48" s="954"/>
      <c r="X48" s="954"/>
      <c r="Y48" s="954"/>
      <c r="Z48" s="954"/>
      <c r="AA48" s="954"/>
      <c r="AB48" s="956"/>
      <c r="AC48" s="954"/>
      <c r="AD48" s="954"/>
      <c r="AE48" s="924"/>
      <c r="AF48" s="924"/>
      <c r="AG48" s="924"/>
      <c r="AH48" s="924"/>
      <c r="AI48" s="924"/>
      <c r="AJ48" s="924"/>
      <c r="AK48" s="924"/>
      <c r="AL48" s="924"/>
      <c r="AM48" s="924"/>
      <c r="AN48" s="924"/>
      <c r="AO48" s="924"/>
      <c r="AP48" s="924"/>
      <c r="AQ48" s="924"/>
      <c r="AR48" s="924"/>
      <c r="AS48" s="924"/>
      <c r="AT48" s="924"/>
      <c r="AU48" s="954"/>
      <c r="AV48" s="954"/>
      <c r="AW48" s="954"/>
      <c r="AX48" s="957"/>
      <c r="AY48" s="924"/>
      <c r="AZ48" s="924"/>
      <c r="BA48" s="924"/>
      <c r="BB48" s="924"/>
      <c r="BC48" s="924"/>
      <c r="BD48" s="924"/>
      <c r="BE48" s="924"/>
      <c r="BF48" s="924"/>
      <c r="BG48" s="955"/>
      <c r="BH48" s="924"/>
    </row>
    <row r="49" spans="1:60" ht="18" customHeight="1" x14ac:dyDescent="0.25">
      <c r="A49" s="1314"/>
      <c r="B49" s="954"/>
      <c r="C49" s="954"/>
      <c r="D49" s="954"/>
      <c r="E49" s="954"/>
      <c r="F49" s="954"/>
      <c r="G49" s="954"/>
      <c r="H49" s="954"/>
      <c r="I49" s="954"/>
      <c r="J49" s="954"/>
      <c r="K49" s="954"/>
      <c r="L49" s="954"/>
      <c r="M49" s="954"/>
      <c r="N49" s="954"/>
      <c r="O49" s="954"/>
      <c r="P49" s="954"/>
      <c r="Q49" s="954"/>
      <c r="R49" s="954"/>
      <c r="S49" s="954"/>
      <c r="T49" s="954"/>
      <c r="U49" s="954"/>
      <c r="V49" s="955"/>
      <c r="W49" s="954"/>
      <c r="X49" s="954"/>
      <c r="Y49" s="954"/>
      <c r="Z49" s="954"/>
      <c r="AA49" s="954"/>
      <c r="AB49" s="956"/>
      <c r="AC49" s="954"/>
      <c r="AD49" s="954"/>
      <c r="AE49" s="924"/>
      <c r="AF49" s="924"/>
      <c r="AG49" s="924"/>
      <c r="AH49" s="924"/>
      <c r="AI49" s="924"/>
      <c r="AJ49" s="924"/>
      <c r="AK49" s="924"/>
      <c r="AL49" s="924"/>
      <c r="AM49" s="924"/>
      <c r="AN49" s="924"/>
      <c r="AO49" s="924"/>
      <c r="AP49" s="924"/>
      <c r="AQ49" s="924"/>
      <c r="AR49" s="924"/>
      <c r="AS49" s="924"/>
      <c r="AT49" s="924"/>
      <c r="AU49" s="954"/>
      <c r="AV49" s="954"/>
      <c r="AW49" s="954"/>
      <c r="AX49" s="957"/>
      <c r="AY49" s="924"/>
      <c r="AZ49" s="924"/>
      <c r="BA49" s="924"/>
      <c r="BB49" s="924"/>
      <c r="BC49" s="924"/>
      <c r="BD49" s="924"/>
      <c r="BE49" s="924"/>
      <c r="BF49" s="924"/>
      <c r="BG49" s="955"/>
      <c r="BH49" s="924"/>
    </row>
    <row r="50" spans="1:60" ht="18" customHeight="1" x14ac:dyDescent="0.25">
      <c r="A50" s="1314"/>
      <c r="B50" s="954"/>
      <c r="C50" s="954"/>
      <c r="D50" s="954"/>
      <c r="E50" s="954"/>
      <c r="F50" s="954"/>
      <c r="G50" s="954"/>
      <c r="H50" s="954"/>
      <c r="I50" s="954"/>
      <c r="J50" s="954"/>
      <c r="K50" s="954"/>
      <c r="L50" s="954"/>
      <c r="M50" s="954"/>
      <c r="N50" s="954"/>
      <c r="O50" s="954"/>
      <c r="P50" s="954"/>
      <c r="Q50" s="954"/>
      <c r="R50" s="954"/>
      <c r="S50" s="954"/>
      <c r="T50" s="954"/>
      <c r="U50" s="954"/>
      <c r="V50" s="955"/>
      <c r="W50" s="954"/>
      <c r="X50" s="954"/>
      <c r="Y50" s="954"/>
      <c r="Z50" s="954"/>
      <c r="AA50" s="954"/>
      <c r="AB50" s="956"/>
      <c r="AC50" s="954"/>
      <c r="AD50" s="954"/>
      <c r="AE50" s="924"/>
      <c r="AF50" s="924"/>
      <c r="AG50" s="924"/>
      <c r="AH50" s="924"/>
      <c r="AI50" s="924"/>
      <c r="AJ50" s="924"/>
      <c r="AK50" s="924"/>
      <c r="AL50" s="924"/>
      <c r="AM50" s="924"/>
      <c r="AN50" s="924"/>
      <c r="AO50" s="924"/>
      <c r="AP50" s="924"/>
      <c r="AQ50" s="924"/>
      <c r="AR50" s="924"/>
      <c r="AS50" s="924"/>
      <c r="AT50" s="924"/>
      <c r="AU50" s="954"/>
      <c r="AV50" s="954"/>
      <c r="AW50" s="954"/>
      <c r="AX50" s="957"/>
      <c r="AY50" s="924"/>
      <c r="AZ50" s="924"/>
      <c r="BA50" s="924"/>
      <c r="BB50" s="924"/>
      <c r="BC50" s="924"/>
      <c r="BD50" s="924"/>
      <c r="BE50" s="924"/>
      <c r="BF50" s="924"/>
      <c r="BG50" s="955"/>
      <c r="BH50" s="924"/>
    </row>
    <row r="51" spans="1:60" ht="18" customHeight="1" x14ac:dyDescent="0.25">
      <c r="A51" s="1314"/>
      <c r="B51" s="954"/>
      <c r="C51" s="954"/>
      <c r="D51" s="954"/>
      <c r="E51" s="954"/>
      <c r="F51" s="954"/>
      <c r="G51" s="954"/>
      <c r="H51" s="954"/>
      <c r="I51" s="954"/>
      <c r="J51" s="954"/>
      <c r="K51" s="954"/>
      <c r="L51" s="954"/>
      <c r="M51" s="954"/>
      <c r="N51" s="954"/>
      <c r="O51" s="954"/>
      <c r="P51" s="954"/>
      <c r="Q51" s="954"/>
      <c r="R51" s="954"/>
      <c r="S51" s="954"/>
      <c r="T51" s="954"/>
      <c r="U51" s="954"/>
      <c r="V51" s="955"/>
      <c r="W51" s="954"/>
      <c r="X51" s="954"/>
      <c r="Y51" s="954"/>
      <c r="Z51" s="954"/>
      <c r="AA51" s="954"/>
      <c r="AB51" s="956"/>
      <c r="AC51" s="954"/>
      <c r="AD51" s="954"/>
      <c r="AE51" s="924"/>
      <c r="AF51" s="924"/>
      <c r="AG51" s="924"/>
      <c r="AH51" s="924"/>
      <c r="AI51" s="924"/>
      <c r="AJ51" s="924"/>
      <c r="AK51" s="924"/>
      <c r="AL51" s="924"/>
      <c r="AM51" s="924"/>
      <c r="AN51" s="924"/>
      <c r="AO51" s="924"/>
      <c r="AP51" s="924"/>
      <c r="AQ51" s="924"/>
      <c r="AR51" s="924"/>
      <c r="AS51" s="924"/>
      <c r="AT51" s="924"/>
      <c r="AU51" s="954"/>
      <c r="AV51" s="954"/>
      <c r="AW51" s="954"/>
      <c r="AX51" s="957"/>
      <c r="AY51" s="924"/>
      <c r="AZ51" s="924"/>
      <c r="BA51" s="924"/>
      <c r="BB51" s="924"/>
      <c r="BC51" s="924"/>
      <c r="BD51" s="924"/>
      <c r="BE51" s="924"/>
      <c r="BF51" s="924"/>
      <c r="BG51" s="955"/>
      <c r="BH51" s="924"/>
    </row>
    <row r="52" spans="1:60" ht="18" customHeight="1" x14ac:dyDescent="0.25">
      <c r="A52" s="1314"/>
      <c r="B52" s="954"/>
      <c r="C52" s="954"/>
      <c r="D52" s="954"/>
      <c r="E52" s="954"/>
      <c r="F52" s="954"/>
      <c r="G52" s="954"/>
      <c r="H52" s="954"/>
      <c r="I52" s="954"/>
      <c r="J52" s="954"/>
      <c r="K52" s="954"/>
      <c r="L52" s="954"/>
      <c r="M52" s="954"/>
      <c r="N52" s="954"/>
      <c r="O52" s="954"/>
      <c r="P52" s="954"/>
      <c r="Q52" s="954"/>
      <c r="R52" s="954"/>
      <c r="S52" s="954"/>
      <c r="T52" s="954"/>
      <c r="U52" s="954"/>
      <c r="V52" s="955"/>
      <c r="W52" s="954"/>
      <c r="X52" s="954"/>
      <c r="Y52" s="954"/>
      <c r="Z52" s="954"/>
      <c r="AA52" s="954"/>
      <c r="AB52" s="956"/>
      <c r="AC52" s="954"/>
      <c r="AD52" s="954"/>
      <c r="AE52" s="924"/>
      <c r="AF52" s="924"/>
      <c r="AG52" s="924"/>
      <c r="AH52" s="924"/>
      <c r="AI52" s="924"/>
      <c r="AJ52" s="924"/>
      <c r="AK52" s="924"/>
      <c r="AL52" s="924"/>
      <c r="AM52" s="924"/>
      <c r="AN52" s="924"/>
      <c r="AO52" s="924"/>
      <c r="AP52" s="924"/>
      <c r="AQ52" s="924"/>
      <c r="AR52" s="924"/>
      <c r="AS52" s="924"/>
      <c r="AT52" s="924"/>
      <c r="AU52" s="954"/>
      <c r="AV52" s="954"/>
      <c r="AW52" s="954"/>
      <c r="AX52" s="957"/>
      <c r="AY52" s="924"/>
      <c r="AZ52" s="924"/>
      <c r="BA52" s="924"/>
      <c r="BB52" s="924"/>
      <c r="BC52" s="924"/>
      <c r="BD52" s="924"/>
      <c r="BE52" s="924"/>
      <c r="BF52" s="924"/>
      <c r="BG52" s="955"/>
      <c r="BH52" s="924"/>
    </row>
    <row r="53" spans="1:60" ht="18" customHeight="1" x14ac:dyDescent="0.25">
      <c r="A53" s="1314"/>
      <c r="B53" s="954"/>
      <c r="C53" s="954"/>
      <c r="D53" s="954"/>
      <c r="E53" s="954"/>
      <c r="F53" s="954"/>
      <c r="G53" s="954"/>
      <c r="H53" s="954"/>
      <c r="I53" s="954"/>
      <c r="J53" s="954"/>
      <c r="K53" s="954"/>
      <c r="L53" s="954"/>
      <c r="M53" s="954"/>
      <c r="N53" s="954"/>
      <c r="O53" s="954"/>
      <c r="P53" s="954"/>
      <c r="Q53" s="954"/>
      <c r="R53" s="954"/>
      <c r="S53" s="954"/>
      <c r="T53" s="954"/>
      <c r="U53" s="954"/>
      <c r="V53" s="955"/>
      <c r="W53" s="954"/>
      <c r="X53" s="954"/>
      <c r="Y53" s="954"/>
      <c r="Z53" s="954"/>
      <c r="AA53" s="954"/>
      <c r="AB53" s="956"/>
      <c r="AC53" s="954"/>
      <c r="AD53" s="954"/>
      <c r="AE53" s="924"/>
      <c r="AF53" s="924"/>
      <c r="AG53" s="924"/>
      <c r="AH53" s="924"/>
      <c r="AI53" s="924"/>
      <c r="AJ53" s="924"/>
      <c r="AK53" s="924"/>
      <c r="AL53" s="924"/>
      <c r="AM53" s="924"/>
      <c r="AN53" s="924"/>
      <c r="AO53" s="924"/>
      <c r="AP53" s="924"/>
      <c r="AQ53" s="924"/>
      <c r="AR53" s="924"/>
      <c r="AS53" s="924"/>
      <c r="AT53" s="924"/>
      <c r="AU53" s="954"/>
      <c r="AV53" s="954"/>
      <c r="AW53" s="954"/>
      <c r="AX53" s="957"/>
      <c r="AY53" s="924"/>
      <c r="AZ53" s="924"/>
      <c r="BA53" s="924"/>
      <c r="BB53" s="924"/>
      <c r="BC53" s="924"/>
      <c r="BD53" s="924"/>
      <c r="BE53" s="924"/>
      <c r="BF53" s="924"/>
      <c r="BG53" s="955"/>
      <c r="BH53" s="924"/>
    </row>
    <row r="54" spans="1:60" ht="18" customHeight="1" x14ac:dyDescent="0.25">
      <c r="A54" s="1314"/>
      <c r="B54" s="954"/>
      <c r="C54" s="954"/>
      <c r="D54" s="954"/>
      <c r="E54" s="954"/>
      <c r="F54" s="954"/>
      <c r="G54" s="954"/>
      <c r="H54" s="954"/>
      <c r="I54" s="954"/>
      <c r="J54" s="954"/>
      <c r="K54" s="954"/>
      <c r="L54" s="954"/>
      <c r="M54" s="954"/>
      <c r="N54" s="954"/>
      <c r="O54" s="954"/>
      <c r="P54" s="954"/>
      <c r="Q54" s="954"/>
      <c r="R54" s="954"/>
      <c r="S54" s="954"/>
      <c r="T54" s="954"/>
      <c r="U54" s="954"/>
      <c r="V54" s="955"/>
      <c r="W54" s="954"/>
      <c r="X54" s="954"/>
      <c r="Y54" s="954"/>
      <c r="Z54" s="954"/>
      <c r="AA54" s="954"/>
      <c r="AB54" s="956"/>
      <c r="AC54" s="954"/>
      <c r="AD54" s="954"/>
      <c r="AE54" s="924"/>
      <c r="AF54" s="924"/>
      <c r="AG54" s="924"/>
      <c r="AH54" s="924"/>
      <c r="AI54" s="924"/>
      <c r="AJ54" s="924"/>
      <c r="AK54" s="924"/>
      <c r="AL54" s="924"/>
      <c r="AM54" s="924"/>
      <c r="AN54" s="924"/>
      <c r="AO54" s="924"/>
      <c r="AP54" s="924"/>
      <c r="AQ54" s="924"/>
      <c r="AR54" s="924"/>
      <c r="AS54" s="924"/>
      <c r="AT54" s="924"/>
      <c r="AU54" s="954"/>
      <c r="AV54" s="954"/>
      <c r="AW54" s="954"/>
      <c r="AX54" s="957"/>
      <c r="AY54" s="924"/>
      <c r="AZ54" s="924"/>
      <c r="BA54" s="924"/>
      <c r="BB54" s="924"/>
      <c r="BC54" s="924"/>
      <c r="BD54" s="924"/>
      <c r="BE54" s="924"/>
      <c r="BF54" s="924"/>
      <c r="BG54" s="955"/>
      <c r="BH54" s="924"/>
    </row>
    <row r="55" spans="1:60" ht="18" customHeight="1" x14ac:dyDescent="0.25">
      <c r="A55" s="1314"/>
      <c r="B55" s="954"/>
      <c r="C55" s="954"/>
      <c r="D55" s="954"/>
      <c r="E55" s="954"/>
      <c r="F55" s="954"/>
      <c r="G55" s="954"/>
      <c r="H55" s="954"/>
      <c r="I55" s="954"/>
      <c r="J55" s="954"/>
      <c r="K55" s="954"/>
      <c r="L55" s="954"/>
      <c r="M55" s="954"/>
      <c r="N55" s="954"/>
      <c r="O55" s="954"/>
      <c r="P55" s="954"/>
      <c r="Q55" s="954"/>
      <c r="R55" s="954"/>
      <c r="S55" s="954"/>
      <c r="T55" s="954"/>
      <c r="U55" s="954"/>
      <c r="V55" s="955"/>
      <c r="W55" s="954"/>
      <c r="X55" s="954"/>
      <c r="Y55" s="954"/>
      <c r="Z55" s="954"/>
      <c r="AA55" s="954"/>
      <c r="AB55" s="956"/>
      <c r="AC55" s="954"/>
      <c r="AD55" s="954"/>
      <c r="AE55" s="924"/>
      <c r="AF55" s="924"/>
      <c r="AG55" s="924"/>
      <c r="AH55" s="924"/>
      <c r="AI55" s="924"/>
      <c r="AJ55" s="924"/>
      <c r="AK55" s="924"/>
      <c r="AL55" s="924"/>
      <c r="AM55" s="924"/>
      <c r="AN55" s="924"/>
      <c r="AO55" s="924"/>
      <c r="AP55" s="924"/>
      <c r="AQ55" s="924"/>
      <c r="AR55" s="924"/>
      <c r="AS55" s="924"/>
      <c r="AT55" s="924"/>
      <c r="AU55" s="954"/>
      <c r="AV55" s="954"/>
      <c r="AW55" s="954"/>
      <c r="AX55" s="957"/>
      <c r="AY55" s="924"/>
      <c r="AZ55" s="924"/>
      <c r="BA55" s="924"/>
      <c r="BB55" s="924"/>
      <c r="BC55" s="924"/>
      <c r="BD55" s="924"/>
      <c r="BE55" s="924"/>
      <c r="BF55" s="924"/>
      <c r="BG55" s="955"/>
      <c r="BH55" s="924"/>
    </row>
    <row r="56" spans="1:60" ht="18" customHeight="1" x14ac:dyDescent="0.25">
      <c r="A56" s="1314"/>
      <c r="B56" s="954"/>
      <c r="C56" s="954"/>
      <c r="D56" s="954"/>
      <c r="E56" s="954"/>
      <c r="F56" s="954"/>
      <c r="G56" s="954"/>
      <c r="H56" s="954"/>
      <c r="I56" s="954"/>
      <c r="J56" s="954"/>
      <c r="K56" s="954"/>
      <c r="L56" s="954"/>
      <c r="M56" s="954"/>
      <c r="N56" s="954"/>
      <c r="O56" s="954"/>
      <c r="P56" s="954"/>
      <c r="Q56" s="954"/>
      <c r="R56" s="954"/>
      <c r="S56" s="954"/>
      <c r="T56" s="954"/>
      <c r="U56" s="954"/>
      <c r="V56" s="955"/>
      <c r="W56" s="954"/>
      <c r="X56" s="954"/>
      <c r="Y56" s="954"/>
      <c r="Z56" s="954"/>
      <c r="AA56" s="954"/>
      <c r="AB56" s="956"/>
      <c r="AC56" s="954"/>
      <c r="AD56" s="954"/>
      <c r="AE56" s="924"/>
      <c r="AF56" s="924"/>
      <c r="AG56" s="924"/>
      <c r="AH56" s="924"/>
      <c r="AI56" s="924"/>
      <c r="AJ56" s="924"/>
      <c r="AK56" s="924"/>
      <c r="AL56" s="924"/>
      <c r="AM56" s="924"/>
      <c r="AN56" s="924"/>
      <c r="AO56" s="924"/>
      <c r="AP56" s="924"/>
      <c r="AQ56" s="924"/>
      <c r="AR56" s="924"/>
      <c r="AS56" s="924"/>
      <c r="AT56" s="924"/>
      <c r="AU56" s="954"/>
      <c r="AV56" s="954"/>
      <c r="AW56" s="954"/>
      <c r="AX56" s="957"/>
      <c r="AY56" s="924"/>
      <c r="AZ56" s="924"/>
      <c r="BA56" s="924"/>
      <c r="BB56" s="924"/>
      <c r="BC56" s="924"/>
      <c r="BD56" s="924"/>
      <c r="BE56" s="924"/>
      <c r="BF56" s="924"/>
      <c r="BG56" s="955"/>
      <c r="BH56" s="924"/>
    </row>
    <row r="57" spans="1:60" ht="18" customHeight="1" x14ac:dyDescent="0.25">
      <c r="A57" s="1314"/>
      <c r="B57" s="954"/>
      <c r="C57" s="954"/>
      <c r="D57" s="954"/>
      <c r="E57" s="954"/>
      <c r="F57" s="954"/>
      <c r="G57" s="954"/>
      <c r="H57" s="954"/>
      <c r="I57" s="954"/>
      <c r="J57" s="954"/>
      <c r="K57" s="954"/>
      <c r="L57" s="954"/>
      <c r="M57" s="954"/>
      <c r="N57" s="954"/>
      <c r="O57" s="954"/>
      <c r="P57" s="954"/>
      <c r="Q57" s="954"/>
      <c r="R57" s="954"/>
      <c r="S57" s="954"/>
      <c r="T57" s="954"/>
      <c r="U57" s="954"/>
      <c r="V57" s="955"/>
      <c r="W57" s="954"/>
      <c r="X57" s="954"/>
      <c r="Y57" s="954"/>
      <c r="Z57" s="954"/>
      <c r="AA57" s="954"/>
      <c r="AB57" s="956"/>
      <c r="AC57" s="954"/>
      <c r="AD57" s="954"/>
      <c r="AE57" s="924"/>
      <c r="AF57" s="924"/>
      <c r="AG57" s="924"/>
      <c r="AH57" s="924"/>
      <c r="AI57" s="924"/>
      <c r="AJ57" s="924"/>
      <c r="AK57" s="924"/>
      <c r="AL57" s="924"/>
      <c r="AM57" s="924"/>
      <c r="AN57" s="924"/>
      <c r="AO57" s="924"/>
      <c r="AP57" s="924"/>
      <c r="AQ57" s="924"/>
      <c r="AR57" s="924"/>
      <c r="AS57" s="924"/>
      <c r="AT57" s="924"/>
      <c r="AU57" s="954"/>
      <c r="AV57" s="954"/>
      <c r="AW57" s="954"/>
      <c r="AX57" s="957"/>
      <c r="AY57" s="924"/>
      <c r="AZ57" s="924"/>
      <c r="BA57" s="924"/>
      <c r="BB57" s="924"/>
      <c r="BC57" s="924"/>
      <c r="BD57" s="924"/>
      <c r="BE57" s="924"/>
      <c r="BF57" s="924"/>
      <c r="BG57" s="955"/>
      <c r="BH57" s="924"/>
    </row>
    <row r="58" spans="1:60" ht="18" customHeight="1" x14ac:dyDescent="0.25">
      <c r="A58" s="1314"/>
      <c r="B58" s="954"/>
      <c r="C58" s="954"/>
      <c r="D58" s="954"/>
      <c r="E58" s="954"/>
      <c r="F58" s="954"/>
      <c r="G58" s="954"/>
      <c r="H58" s="954"/>
      <c r="I58" s="954"/>
      <c r="J58" s="954"/>
      <c r="K58" s="954"/>
      <c r="L58" s="954"/>
      <c r="M58" s="954"/>
      <c r="N58" s="954"/>
      <c r="O58" s="954"/>
      <c r="P58" s="954"/>
      <c r="Q58" s="954"/>
      <c r="R58" s="954"/>
      <c r="S58" s="954"/>
      <c r="T58" s="954"/>
      <c r="U58" s="954"/>
      <c r="V58" s="955"/>
      <c r="W58" s="954"/>
      <c r="X58" s="954"/>
      <c r="Y58" s="954"/>
      <c r="Z58" s="954"/>
      <c r="AA58" s="954"/>
      <c r="AB58" s="956"/>
      <c r="AC58" s="954"/>
      <c r="AD58" s="954"/>
      <c r="AE58" s="924"/>
      <c r="AF58" s="924"/>
      <c r="AG58" s="924"/>
      <c r="AH58" s="924"/>
      <c r="AI58" s="924"/>
      <c r="AJ58" s="924"/>
      <c r="AK58" s="924"/>
      <c r="AL58" s="924"/>
      <c r="AM58" s="924"/>
      <c r="AN58" s="924"/>
      <c r="AO58" s="924"/>
      <c r="AP58" s="924"/>
      <c r="AQ58" s="924"/>
      <c r="AR58" s="924"/>
      <c r="AS58" s="924"/>
      <c r="AT58" s="924"/>
      <c r="AU58" s="954"/>
      <c r="AV58" s="954"/>
      <c r="AW58" s="954"/>
      <c r="AX58" s="957"/>
      <c r="AY58" s="924"/>
      <c r="AZ58" s="924"/>
      <c r="BA58" s="924"/>
      <c r="BB58" s="924"/>
      <c r="BC58" s="924"/>
      <c r="BD58" s="924"/>
      <c r="BE58" s="924"/>
      <c r="BF58" s="924"/>
      <c r="BG58" s="955"/>
      <c r="BH58" s="924"/>
    </row>
    <row r="59" spans="1:60" ht="18" customHeight="1" x14ac:dyDescent="0.25">
      <c r="A59" s="1314"/>
      <c r="B59" s="954"/>
      <c r="C59" s="954"/>
      <c r="D59" s="954"/>
      <c r="E59" s="954"/>
      <c r="F59" s="954"/>
      <c r="G59" s="954"/>
      <c r="H59" s="954"/>
      <c r="I59" s="954"/>
      <c r="J59" s="954"/>
      <c r="K59" s="954"/>
      <c r="L59" s="954"/>
      <c r="M59" s="954"/>
      <c r="N59" s="954"/>
      <c r="O59" s="954"/>
      <c r="P59" s="954"/>
      <c r="Q59" s="954"/>
      <c r="R59" s="954"/>
      <c r="S59" s="954"/>
      <c r="T59" s="954"/>
      <c r="U59" s="954"/>
      <c r="V59" s="955"/>
      <c r="W59" s="954"/>
      <c r="X59" s="954"/>
      <c r="Y59" s="954"/>
      <c r="Z59" s="954"/>
      <c r="AA59" s="954"/>
      <c r="AB59" s="956"/>
      <c r="AC59" s="954"/>
      <c r="AD59" s="954"/>
      <c r="AE59" s="924"/>
      <c r="AF59" s="924"/>
      <c r="AG59" s="924"/>
      <c r="AH59" s="924"/>
      <c r="AI59" s="924"/>
      <c r="AJ59" s="924"/>
      <c r="AK59" s="924"/>
      <c r="AL59" s="924"/>
      <c r="AM59" s="924"/>
      <c r="AN59" s="924"/>
      <c r="AO59" s="924"/>
      <c r="AP59" s="924"/>
      <c r="AQ59" s="924"/>
      <c r="AR59" s="924"/>
      <c r="AS59" s="924"/>
      <c r="AT59" s="924"/>
      <c r="AU59" s="954"/>
      <c r="AV59" s="954"/>
      <c r="AW59" s="954"/>
      <c r="AX59" s="957"/>
      <c r="AY59" s="924"/>
      <c r="AZ59" s="924"/>
      <c r="BA59" s="924"/>
      <c r="BB59" s="924"/>
      <c r="BC59" s="924"/>
      <c r="BD59" s="924"/>
      <c r="BE59" s="924"/>
      <c r="BF59" s="924"/>
      <c r="BG59" s="955"/>
      <c r="BH59" s="924"/>
    </row>
    <row r="60" spans="1:60" ht="18" customHeight="1" x14ac:dyDescent="0.25">
      <c r="A60" s="1314"/>
      <c r="B60" s="954"/>
      <c r="C60" s="954"/>
      <c r="D60" s="954"/>
      <c r="E60" s="954"/>
      <c r="F60" s="954"/>
      <c r="G60" s="954"/>
      <c r="H60" s="954"/>
      <c r="I60" s="954"/>
      <c r="J60" s="954"/>
      <c r="K60" s="954"/>
      <c r="L60" s="954"/>
      <c r="M60" s="954"/>
      <c r="N60" s="954"/>
      <c r="O60" s="954"/>
      <c r="P60" s="954"/>
      <c r="Q60" s="954"/>
      <c r="R60" s="954"/>
      <c r="S60" s="954"/>
      <c r="T60" s="954"/>
      <c r="U60" s="954"/>
      <c r="V60" s="955"/>
      <c r="W60" s="954"/>
      <c r="X60" s="954"/>
      <c r="Y60" s="954"/>
      <c r="Z60" s="954"/>
      <c r="AA60" s="954"/>
      <c r="AB60" s="956"/>
      <c r="AC60" s="954"/>
      <c r="AD60" s="954"/>
      <c r="AE60" s="924"/>
      <c r="AF60" s="924"/>
      <c r="AG60" s="924"/>
      <c r="AH60" s="924"/>
      <c r="AI60" s="924"/>
      <c r="AJ60" s="924"/>
      <c r="AK60" s="924"/>
      <c r="AL60" s="924"/>
      <c r="AM60" s="924"/>
      <c r="AN60" s="924"/>
      <c r="AO60" s="924"/>
      <c r="AP60" s="924"/>
      <c r="AQ60" s="924"/>
      <c r="AR60" s="924"/>
      <c r="AS60" s="924"/>
      <c r="AT60" s="924"/>
      <c r="AU60" s="954"/>
      <c r="AV60" s="954"/>
      <c r="AW60" s="954"/>
      <c r="AX60" s="957"/>
      <c r="AY60" s="924"/>
      <c r="AZ60" s="924"/>
      <c r="BA60" s="924"/>
      <c r="BB60" s="924"/>
      <c r="BC60" s="924"/>
      <c r="BD60" s="924"/>
      <c r="BE60" s="924"/>
      <c r="BF60" s="924"/>
      <c r="BG60" s="955"/>
      <c r="BH60" s="924"/>
    </row>
    <row r="61" spans="1:60" ht="18" customHeight="1" x14ac:dyDescent="0.25">
      <c r="A61" s="1314"/>
      <c r="B61" s="954"/>
      <c r="C61" s="954"/>
      <c r="D61" s="954"/>
      <c r="E61" s="954"/>
      <c r="F61" s="954"/>
      <c r="G61" s="954"/>
      <c r="H61" s="954"/>
      <c r="I61" s="954"/>
      <c r="J61" s="954"/>
      <c r="K61" s="954"/>
      <c r="L61" s="954"/>
      <c r="M61" s="954"/>
      <c r="N61" s="954"/>
      <c r="O61" s="954"/>
      <c r="P61" s="954"/>
      <c r="Q61" s="954"/>
      <c r="R61" s="954"/>
      <c r="S61" s="954"/>
      <c r="T61" s="954"/>
      <c r="U61" s="954"/>
      <c r="V61" s="955"/>
      <c r="W61" s="954"/>
      <c r="X61" s="954"/>
      <c r="Y61" s="954"/>
      <c r="Z61" s="954"/>
      <c r="AA61" s="954"/>
      <c r="AB61" s="956"/>
      <c r="AC61" s="954"/>
      <c r="AD61" s="954"/>
      <c r="AE61" s="924"/>
      <c r="AF61" s="924"/>
      <c r="AG61" s="924"/>
      <c r="AH61" s="924"/>
      <c r="AI61" s="924"/>
      <c r="AJ61" s="924"/>
      <c r="AK61" s="924"/>
      <c r="AL61" s="924"/>
      <c r="AM61" s="924"/>
      <c r="AN61" s="924"/>
      <c r="AO61" s="924"/>
      <c r="AP61" s="924"/>
      <c r="AQ61" s="924"/>
      <c r="AR61" s="924"/>
      <c r="AS61" s="924"/>
      <c r="AT61" s="924"/>
      <c r="AU61" s="954"/>
      <c r="AV61" s="954"/>
      <c r="AW61" s="954"/>
      <c r="AX61" s="957"/>
      <c r="AY61" s="924"/>
      <c r="AZ61" s="924"/>
      <c r="BA61" s="924"/>
      <c r="BB61" s="924"/>
      <c r="BC61" s="924"/>
      <c r="BD61" s="924"/>
      <c r="BE61" s="924"/>
      <c r="BF61" s="924"/>
      <c r="BG61" s="955"/>
      <c r="BH61" s="924"/>
    </row>
    <row r="62" spans="1:60" ht="18" customHeight="1" x14ac:dyDescent="0.25">
      <c r="A62" s="1314"/>
      <c r="B62" s="954"/>
      <c r="C62" s="954"/>
      <c r="D62" s="954"/>
      <c r="E62" s="954"/>
      <c r="F62" s="954"/>
      <c r="G62" s="954"/>
      <c r="H62" s="954"/>
      <c r="I62" s="954"/>
      <c r="J62" s="954"/>
      <c r="K62" s="954"/>
      <c r="L62" s="954"/>
      <c r="M62" s="954"/>
      <c r="N62" s="954"/>
      <c r="O62" s="954"/>
      <c r="P62" s="954"/>
      <c r="Q62" s="954"/>
      <c r="R62" s="954"/>
      <c r="S62" s="954"/>
      <c r="T62" s="954"/>
      <c r="U62" s="954"/>
      <c r="V62" s="955"/>
      <c r="W62" s="954"/>
      <c r="X62" s="954"/>
      <c r="Y62" s="954"/>
      <c r="Z62" s="954"/>
      <c r="AA62" s="954"/>
      <c r="AB62" s="956"/>
      <c r="AC62" s="954"/>
      <c r="AD62" s="954"/>
      <c r="AE62" s="924"/>
      <c r="AF62" s="924"/>
      <c r="AG62" s="924"/>
      <c r="AH62" s="924"/>
      <c r="AI62" s="924"/>
      <c r="AJ62" s="924"/>
      <c r="AK62" s="924"/>
      <c r="AL62" s="924"/>
      <c r="AM62" s="924"/>
      <c r="AN62" s="924"/>
      <c r="AO62" s="924"/>
      <c r="AP62" s="924"/>
      <c r="AQ62" s="924"/>
      <c r="AR62" s="924"/>
      <c r="AS62" s="924"/>
      <c r="AT62" s="924"/>
      <c r="AU62" s="954"/>
      <c r="AV62" s="954"/>
      <c r="AW62" s="954"/>
      <c r="AX62" s="957"/>
      <c r="AY62" s="924"/>
      <c r="AZ62" s="924"/>
      <c r="BA62" s="924"/>
      <c r="BB62" s="924"/>
      <c r="BC62" s="924"/>
      <c r="BD62" s="924"/>
      <c r="BE62" s="924"/>
      <c r="BF62" s="924"/>
      <c r="BG62" s="955"/>
      <c r="BH62" s="924"/>
    </row>
    <row r="63" spans="1:60" ht="18" customHeight="1" x14ac:dyDescent="0.25">
      <c r="A63" s="1314"/>
      <c r="B63" s="954"/>
      <c r="C63" s="954"/>
      <c r="D63" s="954"/>
      <c r="E63" s="954"/>
      <c r="F63" s="954"/>
      <c r="G63" s="954"/>
      <c r="H63" s="954"/>
      <c r="I63" s="954"/>
      <c r="J63" s="954"/>
      <c r="K63" s="954"/>
      <c r="L63" s="954"/>
      <c r="M63" s="954"/>
      <c r="N63" s="954"/>
      <c r="O63" s="954"/>
      <c r="P63" s="954"/>
      <c r="Q63" s="954"/>
      <c r="R63" s="954"/>
      <c r="S63" s="954"/>
      <c r="T63" s="954"/>
      <c r="U63" s="954"/>
      <c r="V63" s="955"/>
      <c r="W63" s="954"/>
      <c r="X63" s="954"/>
      <c r="Y63" s="954"/>
      <c r="Z63" s="954"/>
      <c r="AA63" s="954"/>
      <c r="AB63" s="956"/>
      <c r="AC63" s="954"/>
      <c r="AD63" s="954"/>
      <c r="AE63" s="924"/>
      <c r="AF63" s="924"/>
      <c r="AG63" s="924"/>
      <c r="AH63" s="924"/>
      <c r="AI63" s="924"/>
      <c r="AJ63" s="924"/>
      <c r="AK63" s="924"/>
      <c r="AL63" s="924"/>
      <c r="AM63" s="924"/>
      <c r="AN63" s="924"/>
      <c r="AO63" s="924"/>
      <c r="AP63" s="924"/>
      <c r="AQ63" s="924"/>
      <c r="AR63" s="924"/>
      <c r="AS63" s="924"/>
      <c r="AT63" s="924"/>
      <c r="AU63" s="954"/>
      <c r="AV63" s="954"/>
      <c r="AW63" s="954"/>
      <c r="AX63" s="957"/>
      <c r="AY63" s="924"/>
      <c r="AZ63" s="924"/>
      <c r="BA63" s="924"/>
      <c r="BB63" s="924"/>
      <c r="BC63" s="924"/>
      <c r="BD63" s="924"/>
      <c r="BE63" s="924"/>
      <c r="BF63" s="924"/>
      <c r="BG63" s="955"/>
      <c r="BH63" s="924"/>
    </row>
    <row r="64" spans="1:60" ht="18" customHeight="1" x14ac:dyDescent="0.25">
      <c r="A64" s="1314"/>
      <c r="B64" s="954"/>
      <c r="C64" s="954"/>
      <c r="D64" s="954"/>
      <c r="E64" s="954"/>
      <c r="F64" s="954"/>
      <c r="G64" s="954"/>
      <c r="H64" s="954"/>
      <c r="I64" s="954"/>
      <c r="J64" s="954"/>
      <c r="K64" s="954"/>
      <c r="L64" s="954"/>
      <c r="M64" s="954"/>
      <c r="N64" s="954"/>
      <c r="O64" s="954"/>
      <c r="P64" s="954"/>
      <c r="Q64" s="954"/>
      <c r="R64" s="954"/>
      <c r="S64" s="954"/>
      <c r="T64" s="954"/>
      <c r="U64" s="954"/>
      <c r="V64" s="955"/>
      <c r="W64" s="954"/>
      <c r="X64" s="954"/>
      <c r="Y64" s="954"/>
      <c r="Z64" s="954"/>
      <c r="AA64" s="954"/>
      <c r="AB64" s="956"/>
      <c r="AC64" s="954"/>
      <c r="AD64" s="954"/>
      <c r="AE64" s="924"/>
      <c r="AF64" s="924"/>
      <c r="AG64" s="924"/>
      <c r="AH64" s="924"/>
      <c r="AI64" s="924"/>
      <c r="AJ64" s="924"/>
      <c r="AK64" s="924"/>
      <c r="AL64" s="924"/>
      <c r="AM64" s="924"/>
      <c r="AN64" s="924"/>
      <c r="AO64" s="924"/>
      <c r="AP64" s="924"/>
      <c r="AQ64" s="924"/>
      <c r="AR64" s="924"/>
      <c r="AS64" s="924"/>
      <c r="AT64" s="924"/>
      <c r="AU64" s="954"/>
      <c r="AV64" s="954"/>
      <c r="AW64" s="954"/>
      <c r="AX64" s="957"/>
      <c r="AY64" s="924"/>
      <c r="AZ64" s="924"/>
      <c r="BA64" s="924"/>
      <c r="BB64" s="924"/>
      <c r="BC64" s="924"/>
      <c r="BD64" s="924"/>
      <c r="BE64" s="924"/>
      <c r="BF64" s="924"/>
      <c r="BG64" s="955"/>
      <c r="BH64" s="924"/>
    </row>
    <row r="65" spans="1:60" ht="18" customHeight="1" x14ac:dyDescent="0.25">
      <c r="A65" s="1314"/>
      <c r="B65" s="954"/>
      <c r="C65" s="954"/>
      <c r="D65" s="954"/>
      <c r="E65" s="954"/>
      <c r="F65" s="954"/>
      <c r="G65" s="954"/>
      <c r="H65" s="954"/>
      <c r="I65" s="954"/>
      <c r="J65" s="954"/>
      <c r="K65" s="954"/>
      <c r="L65" s="954"/>
      <c r="M65" s="954"/>
      <c r="N65" s="954"/>
      <c r="O65" s="954"/>
      <c r="P65" s="954"/>
      <c r="Q65" s="954"/>
      <c r="R65" s="954"/>
      <c r="S65" s="954"/>
      <c r="T65" s="954"/>
      <c r="U65" s="954"/>
      <c r="V65" s="955"/>
      <c r="W65" s="954"/>
      <c r="X65" s="954"/>
      <c r="Y65" s="954"/>
      <c r="Z65" s="954"/>
      <c r="AA65" s="954"/>
      <c r="AB65" s="956"/>
      <c r="AC65" s="954"/>
      <c r="AD65" s="954"/>
      <c r="AE65" s="924"/>
      <c r="AF65" s="924"/>
      <c r="AG65" s="924"/>
      <c r="AH65" s="924"/>
      <c r="AI65" s="924"/>
      <c r="AJ65" s="924"/>
      <c r="AK65" s="924"/>
      <c r="AL65" s="924"/>
      <c r="AM65" s="924"/>
      <c r="AN65" s="924"/>
      <c r="AO65" s="924"/>
      <c r="AP65" s="924"/>
      <c r="AQ65" s="924"/>
      <c r="AR65" s="924"/>
      <c r="AS65" s="924"/>
      <c r="AT65" s="924"/>
      <c r="AU65" s="954"/>
      <c r="AV65" s="954"/>
      <c r="AW65" s="954"/>
      <c r="AX65" s="957"/>
      <c r="AY65" s="924"/>
      <c r="AZ65" s="924"/>
      <c r="BA65" s="924"/>
      <c r="BB65" s="924"/>
      <c r="BC65" s="924"/>
      <c r="BD65" s="924"/>
      <c r="BE65" s="924"/>
      <c r="BF65" s="924"/>
      <c r="BG65" s="955"/>
      <c r="BH65" s="924"/>
    </row>
    <row r="66" spans="1:60" ht="18" customHeight="1" x14ac:dyDescent="0.25">
      <c r="A66" s="1314"/>
      <c r="B66" s="954"/>
      <c r="C66" s="954"/>
      <c r="D66" s="954"/>
      <c r="E66" s="954"/>
      <c r="F66" s="954"/>
      <c r="G66" s="954"/>
      <c r="H66" s="954"/>
      <c r="I66" s="954"/>
      <c r="J66" s="954"/>
      <c r="K66" s="954"/>
      <c r="L66" s="954"/>
      <c r="M66" s="954"/>
      <c r="N66" s="954"/>
      <c r="O66" s="954"/>
      <c r="P66" s="954"/>
      <c r="Q66" s="954"/>
      <c r="R66" s="954"/>
      <c r="S66" s="954"/>
      <c r="T66" s="954"/>
      <c r="U66" s="954"/>
      <c r="V66" s="955"/>
      <c r="W66" s="954"/>
      <c r="X66" s="954"/>
      <c r="Y66" s="954"/>
      <c r="Z66" s="954"/>
      <c r="AA66" s="954"/>
      <c r="AB66" s="956"/>
      <c r="AC66" s="954"/>
      <c r="AD66" s="954"/>
      <c r="AE66" s="924"/>
      <c r="AF66" s="924"/>
      <c r="AG66" s="924"/>
      <c r="AH66" s="924"/>
      <c r="AI66" s="924"/>
      <c r="AJ66" s="924"/>
      <c r="AK66" s="924"/>
      <c r="AL66" s="924"/>
      <c r="AM66" s="924"/>
      <c r="AN66" s="924"/>
      <c r="AO66" s="924"/>
      <c r="AP66" s="924"/>
      <c r="AQ66" s="924"/>
      <c r="AR66" s="924"/>
      <c r="AS66" s="924"/>
      <c r="AT66" s="924"/>
      <c r="AU66" s="954"/>
      <c r="AV66" s="954"/>
      <c r="AW66" s="954"/>
      <c r="AX66" s="957"/>
      <c r="AY66" s="924"/>
      <c r="AZ66" s="924"/>
      <c r="BA66" s="924"/>
      <c r="BB66" s="924"/>
      <c r="BC66" s="924"/>
      <c r="BD66" s="924"/>
      <c r="BE66" s="924"/>
      <c r="BF66" s="924"/>
      <c r="BG66" s="955"/>
      <c r="BH66" s="924"/>
    </row>
    <row r="67" spans="1:60" ht="18" customHeight="1" x14ac:dyDescent="0.25">
      <c r="A67" s="1314"/>
      <c r="B67" s="954"/>
      <c r="C67" s="954"/>
      <c r="D67" s="954"/>
      <c r="E67" s="954"/>
      <c r="F67" s="954"/>
      <c r="G67" s="954"/>
      <c r="H67" s="954"/>
      <c r="I67" s="954"/>
      <c r="J67" s="954"/>
      <c r="K67" s="954"/>
      <c r="L67" s="954"/>
      <c r="M67" s="954"/>
      <c r="N67" s="954"/>
      <c r="O67" s="954"/>
      <c r="P67" s="954"/>
      <c r="Q67" s="954"/>
      <c r="R67" s="954"/>
      <c r="S67" s="954"/>
      <c r="T67" s="954"/>
      <c r="U67" s="954"/>
      <c r="V67" s="955"/>
      <c r="W67" s="954"/>
      <c r="X67" s="954"/>
      <c r="Y67" s="954"/>
      <c r="Z67" s="954"/>
      <c r="AA67" s="954"/>
      <c r="AB67" s="956"/>
      <c r="AC67" s="954"/>
      <c r="AD67" s="954"/>
      <c r="AE67" s="924"/>
      <c r="AF67" s="924"/>
      <c r="AG67" s="924"/>
      <c r="AH67" s="924"/>
      <c r="AI67" s="924"/>
      <c r="AJ67" s="924"/>
      <c r="AK67" s="924"/>
      <c r="AL67" s="924"/>
      <c r="AM67" s="924"/>
      <c r="AN67" s="924"/>
      <c r="AO67" s="924"/>
      <c r="AP67" s="924"/>
      <c r="AQ67" s="924"/>
      <c r="AR67" s="924"/>
      <c r="AS67" s="924"/>
      <c r="AT67" s="924"/>
      <c r="AU67" s="954"/>
      <c r="AV67" s="954"/>
      <c r="AW67" s="954"/>
      <c r="AX67" s="957"/>
      <c r="AY67" s="924"/>
      <c r="AZ67" s="924"/>
      <c r="BA67" s="924"/>
      <c r="BB67" s="924"/>
      <c r="BC67" s="924"/>
      <c r="BD67" s="924"/>
      <c r="BE67" s="924"/>
      <c r="BF67" s="924"/>
      <c r="BG67" s="955"/>
      <c r="BH67" s="924"/>
    </row>
    <row r="68" spans="1:60" ht="18" customHeight="1" x14ac:dyDescent="0.25">
      <c r="A68" s="1314"/>
      <c r="B68" s="954"/>
      <c r="C68" s="954"/>
      <c r="D68" s="954"/>
      <c r="E68" s="954"/>
      <c r="F68" s="954"/>
      <c r="G68" s="954"/>
      <c r="H68" s="954"/>
      <c r="I68" s="954"/>
      <c r="J68" s="954"/>
      <c r="K68" s="954"/>
      <c r="L68" s="954"/>
      <c r="M68" s="954"/>
      <c r="N68" s="954"/>
      <c r="O68" s="954"/>
      <c r="P68" s="954"/>
      <c r="Q68" s="954"/>
      <c r="R68" s="954"/>
      <c r="S68" s="954"/>
      <c r="T68" s="954"/>
      <c r="U68" s="954"/>
      <c r="V68" s="955"/>
      <c r="W68" s="954"/>
      <c r="X68" s="954"/>
      <c r="Y68" s="954"/>
      <c r="Z68" s="954"/>
      <c r="AA68" s="954"/>
      <c r="AB68" s="956"/>
      <c r="AC68" s="954"/>
      <c r="AD68" s="954"/>
      <c r="AE68" s="924"/>
      <c r="AF68" s="924"/>
      <c r="AG68" s="924"/>
      <c r="AH68" s="924"/>
      <c r="AI68" s="924"/>
      <c r="AJ68" s="924"/>
      <c r="AK68" s="924"/>
      <c r="AL68" s="924"/>
      <c r="AM68" s="924"/>
      <c r="AN68" s="924"/>
      <c r="AO68" s="924"/>
      <c r="AP68" s="924"/>
      <c r="AQ68" s="924"/>
      <c r="AR68" s="924"/>
      <c r="AS68" s="924"/>
      <c r="AT68" s="924"/>
      <c r="AU68" s="954"/>
      <c r="AV68" s="954"/>
      <c r="AW68" s="954"/>
      <c r="AX68" s="957"/>
      <c r="AY68" s="924"/>
      <c r="AZ68" s="924"/>
      <c r="BA68" s="924"/>
      <c r="BB68" s="924"/>
      <c r="BC68" s="924"/>
      <c r="BD68" s="924"/>
      <c r="BE68" s="924"/>
      <c r="BF68" s="924"/>
      <c r="BG68" s="955"/>
      <c r="BH68" s="924"/>
    </row>
    <row r="69" spans="1:60" ht="18" customHeight="1" x14ac:dyDescent="0.25">
      <c r="A69" s="1314"/>
      <c r="B69" s="954"/>
      <c r="C69" s="954"/>
      <c r="D69" s="954"/>
      <c r="E69" s="954"/>
      <c r="F69" s="954"/>
      <c r="G69" s="954"/>
      <c r="H69" s="954"/>
      <c r="I69" s="954"/>
      <c r="J69" s="954"/>
      <c r="K69" s="954"/>
      <c r="L69" s="954"/>
      <c r="M69" s="954"/>
      <c r="N69" s="954"/>
      <c r="O69" s="954"/>
      <c r="P69" s="954"/>
      <c r="Q69" s="954"/>
      <c r="R69" s="954"/>
      <c r="S69" s="954"/>
      <c r="T69" s="954"/>
      <c r="U69" s="954"/>
      <c r="V69" s="955"/>
      <c r="W69" s="954"/>
      <c r="X69" s="954"/>
      <c r="Y69" s="954"/>
      <c r="Z69" s="954"/>
      <c r="AA69" s="954"/>
      <c r="AB69" s="956"/>
      <c r="AC69" s="954"/>
      <c r="AD69" s="954"/>
      <c r="AE69" s="924"/>
      <c r="AF69" s="924"/>
      <c r="AG69" s="924"/>
      <c r="AH69" s="924"/>
      <c r="AI69" s="924"/>
      <c r="AJ69" s="924"/>
      <c r="AK69" s="924"/>
      <c r="AL69" s="924"/>
      <c r="AM69" s="924"/>
      <c r="AN69" s="924"/>
      <c r="AO69" s="924"/>
      <c r="AP69" s="924"/>
      <c r="AQ69" s="924"/>
      <c r="AR69" s="924"/>
      <c r="AS69" s="924"/>
      <c r="AT69" s="924"/>
      <c r="AU69" s="954"/>
      <c r="AV69" s="954"/>
      <c r="AW69" s="954"/>
      <c r="AX69" s="957"/>
      <c r="AY69" s="924"/>
      <c r="AZ69" s="924"/>
      <c r="BA69" s="924"/>
      <c r="BB69" s="924"/>
      <c r="BC69" s="924"/>
      <c r="BD69" s="924"/>
      <c r="BE69" s="924"/>
      <c r="BF69" s="924"/>
      <c r="BG69" s="955"/>
      <c r="BH69" s="924"/>
    </row>
    <row r="70" spans="1:60" ht="18" customHeight="1" x14ac:dyDescent="0.25">
      <c r="A70" s="1314"/>
      <c r="B70" s="954"/>
      <c r="C70" s="954"/>
      <c r="D70" s="954"/>
      <c r="E70" s="954"/>
      <c r="F70" s="954"/>
      <c r="G70" s="954"/>
      <c r="H70" s="954"/>
      <c r="I70" s="954"/>
      <c r="J70" s="954"/>
      <c r="K70" s="954"/>
      <c r="L70" s="954"/>
      <c r="M70" s="954"/>
      <c r="N70" s="954"/>
      <c r="O70" s="954"/>
      <c r="P70" s="954"/>
      <c r="Q70" s="954"/>
      <c r="R70" s="954"/>
      <c r="S70" s="954"/>
      <c r="T70" s="954"/>
      <c r="U70" s="954"/>
      <c r="V70" s="955"/>
      <c r="W70" s="954"/>
      <c r="X70" s="954"/>
      <c r="Y70" s="954"/>
      <c r="Z70" s="954"/>
      <c r="AA70" s="954"/>
      <c r="AB70" s="956"/>
      <c r="AC70" s="954"/>
      <c r="AD70" s="954"/>
      <c r="AE70" s="924"/>
      <c r="AF70" s="924"/>
      <c r="AG70" s="924"/>
      <c r="AH70" s="924"/>
      <c r="AI70" s="924"/>
      <c r="AJ70" s="924"/>
      <c r="AK70" s="924"/>
      <c r="AL70" s="924"/>
      <c r="AM70" s="924"/>
      <c r="AN70" s="924"/>
      <c r="AO70" s="924"/>
      <c r="AP70" s="924"/>
      <c r="AQ70" s="924"/>
      <c r="AR70" s="924"/>
      <c r="AS70" s="924"/>
      <c r="AT70" s="924"/>
      <c r="AU70" s="954"/>
      <c r="AV70" s="954"/>
      <c r="AW70" s="954"/>
      <c r="AX70" s="957"/>
      <c r="AY70" s="924"/>
      <c r="AZ70" s="924"/>
      <c r="BA70" s="924"/>
      <c r="BB70" s="924"/>
      <c r="BC70" s="924"/>
      <c r="BD70" s="924"/>
      <c r="BE70" s="924"/>
      <c r="BF70" s="924"/>
      <c r="BG70" s="955"/>
      <c r="BH70" s="924"/>
    </row>
    <row r="71" spans="1:60" ht="18" customHeight="1" x14ac:dyDescent="0.25">
      <c r="A71" s="1314"/>
      <c r="B71" s="954"/>
      <c r="C71" s="954"/>
      <c r="D71" s="954"/>
      <c r="E71" s="954"/>
      <c r="F71" s="954"/>
      <c r="G71" s="954"/>
      <c r="H71" s="954"/>
      <c r="I71" s="954"/>
      <c r="J71" s="954"/>
      <c r="K71" s="954"/>
      <c r="L71" s="954"/>
      <c r="M71" s="954"/>
      <c r="N71" s="954"/>
      <c r="O71" s="954"/>
      <c r="P71" s="954"/>
      <c r="Q71" s="954"/>
      <c r="R71" s="954"/>
      <c r="S71" s="954"/>
      <c r="T71" s="954"/>
      <c r="U71" s="954"/>
      <c r="V71" s="955"/>
      <c r="W71" s="954"/>
      <c r="X71" s="954"/>
      <c r="Y71" s="954"/>
      <c r="Z71" s="954"/>
      <c r="AA71" s="954"/>
      <c r="AB71" s="956"/>
      <c r="AC71" s="954"/>
      <c r="AD71" s="954"/>
      <c r="AE71" s="924"/>
      <c r="AF71" s="924"/>
      <c r="AG71" s="924"/>
      <c r="AH71" s="924"/>
      <c r="AI71" s="924"/>
      <c r="AJ71" s="924"/>
      <c r="AK71" s="924"/>
      <c r="AL71" s="924"/>
      <c r="AM71" s="924"/>
      <c r="AN71" s="924"/>
      <c r="AO71" s="924"/>
      <c r="AP71" s="924"/>
      <c r="AQ71" s="924"/>
      <c r="AR71" s="924"/>
      <c r="AS71" s="924"/>
      <c r="AT71" s="924"/>
      <c r="AU71" s="954"/>
      <c r="AV71" s="954"/>
      <c r="AW71" s="954"/>
      <c r="AX71" s="957"/>
      <c r="AY71" s="924"/>
      <c r="AZ71" s="924"/>
      <c r="BA71" s="924"/>
      <c r="BB71" s="924"/>
      <c r="BC71" s="924"/>
      <c r="BD71" s="924"/>
      <c r="BE71" s="924"/>
      <c r="BF71" s="924"/>
      <c r="BG71" s="955"/>
      <c r="BH71" s="924"/>
    </row>
    <row r="72" spans="1:60" ht="18" customHeight="1" x14ac:dyDescent="0.25">
      <c r="A72" s="1314"/>
      <c r="B72" s="954"/>
      <c r="C72" s="954"/>
      <c r="D72" s="954"/>
      <c r="E72" s="954"/>
      <c r="F72" s="954"/>
      <c r="G72" s="954"/>
      <c r="H72" s="954"/>
      <c r="I72" s="954"/>
      <c r="J72" s="954"/>
      <c r="K72" s="954"/>
      <c r="L72" s="954"/>
      <c r="M72" s="954"/>
      <c r="N72" s="954"/>
      <c r="O72" s="954"/>
      <c r="P72" s="954"/>
      <c r="Q72" s="954"/>
      <c r="R72" s="954"/>
      <c r="S72" s="954"/>
      <c r="T72" s="954"/>
      <c r="U72" s="954"/>
      <c r="V72" s="955"/>
      <c r="W72" s="954"/>
      <c r="X72" s="954"/>
      <c r="Y72" s="954"/>
      <c r="Z72" s="954"/>
      <c r="AA72" s="954"/>
      <c r="AB72" s="956"/>
      <c r="AC72" s="954"/>
      <c r="AD72" s="954"/>
      <c r="AE72" s="924"/>
      <c r="AF72" s="924"/>
      <c r="AG72" s="924"/>
      <c r="AH72" s="924"/>
      <c r="AI72" s="924"/>
      <c r="AJ72" s="924"/>
      <c r="AK72" s="924"/>
      <c r="AL72" s="924"/>
      <c r="AM72" s="924"/>
      <c r="AN72" s="924"/>
      <c r="AO72" s="924"/>
      <c r="AP72" s="924"/>
      <c r="AQ72" s="924"/>
      <c r="AR72" s="924"/>
      <c r="AS72" s="924"/>
      <c r="AT72" s="924"/>
      <c r="AU72" s="954"/>
      <c r="AV72" s="954"/>
      <c r="AW72" s="954"/>
      <c r="AX72" s="957"/>
      <c r="AY72" s="924"/>
      <c r="AZ72" s="924"/>
      <c r="BA72" s="924"/>
      <c r="BB72" s="924"/>
      <c r="BC72" s="924"/>
      <c r="BD72" s="924"/>
      <c r="BE72" s="924"/>
      <c r="BF72" s="924"/>
      <c r="BG72" s="955"/>
      <c r="BH72" s="924"/>
    </row>
    <row r="73" spans="1:60" ht="18" customHeight="1" x14ac:dyDescent="0.25">
      <c r="A73" s="1314"/>
      <c r="B73" s="954"/>
      <c r="C73" s="954"/>
      <c r="D73" s="954"/>
      <c r="E73" s="954"/>
      <c r="F73" s="954"/>
      <c r="G73" s="954"/>
      <c r="H73" s="954"/>
      <c r="I73" s="954"/>
      <c r="J73" s="954"/>
      <c r="K73" s="954"/>
      <c r="L73" s="954"/>
      <c r="M73" s="954"/>
      <c r="N73" s="954"/>
      <c r="O73" s="954"/>
      <c r="P73" s="954"/>
      <c r="Q73" s="954"/>
      <c r="R73" s="954"/>
      <c r="S73" s="954"/>
      <c r="T73" s="954"/>
      <c r="U73" s="954"/>
      <c r="V73" s="955"/>
      <c r="W73" s="954"/>
      <c r="X73" s="954"/>
      <c r="Y73" s="954"/>
      <c r="Z73" s="954"/>
      <c r="AA73" s="954"/>
      <c r="AB73" s="956"/>
      <c r="AC73" s="954"/>
      <c r="AD73" s="954"/>
      <c r="AE73" s="924"/>
      <c r="AF73" s="924"/>
      <c r="AG73" s="924"/>
      <c r="AH73" s="924"/>
      <c r="AI73" s="924"/>
      <c r="AJ73" s="924"/>
      <c r="AK73" s="924"/>
      <c r="AL73" s="924"/>
      <c r="AM73" s="924"/>
      <c r="AN73" s="924"/>
      <c r="AO73" s="924"/>
      <c r="AP73" s="924"/>
      <c r="AQ73" s="924"/>
      <c r="AR73" s="924"/>
      <c r="AS73" s="924"/>
      <c r="AT73" s="924"/>
      <c r="AU73" s="954"/>
      <c r="AV73" s="954"/>
      <c r="AW73" s="954"/>
      <c r="AX73" s="957"/>
      <c r="AY73" s="924"/>
      <c r="AZ73" s="924"/>
      <c r="BA73" s="924"/>
      <c r="BB73" s="924"/>
      <c r="BC73" s="924"/>
      <c r="BD73" s="924"/>
      <c r="BE73" s="924"/>
      <c r="BF73" s="924"/>
      <c r="BG73" s="955"/>
      <c r="BH73" s="924"/>
    </row>
    <row r="74" spans="1:60" ht="18" customHeight="1" x14ac:dyDescent="0.25">
      <c r="A74" s="1314"/>
      <c r="B74" s="954"/>
      <c r="C74" s="954"/>
      <c r="D74" s="954"/>
      <c r="E74" s="954"/>
      <c r="F74" s="954"/>
      <c r="G74" s="954"/>
      <c r="H74" s="954"/>
      <c r="I74" s="954"/>
      <c r="J74" s="954"/>
      <c r="K74" s="954"/>
      <c r="L74" s="954"/>
      <c r="M74" s="954"/>
      <c r="N74" s="954"/>
      <c r="O74" s="954"/>
      <c r="P74" s="954"/>
      <c r="Q74" s="954"/>
      <c r="R74" s="954"/>
      <c r="S74" s="954"/>
      <c r="T74" s="954"/>
      <c r="U74" s="954"/>
      <c r="V74" s="955"/>
      <c r="W74" s="954"/>
      <c r="X74" s="954"/>
      <c r="Y74" s="954"/>
      <c r="Z74" s="954"/>
      <c r="AA74" s="954"/>
      <c r="AB74" s="956"/>
      <c r="AC74" s="954"/>
      <c r="AD74" s="954"/>
      <c r="AE74" s="924"/>
      <c r="AF74" s="924"/>
      <c r="AG74" s="924"/>
      <c r="AH74" s="924"/>
      <c r="AI74" s="924"/>
      <c r="AJ74" s="924"/>
      <c r="AK74" s="924"/>
      <c r="AL74" s="924"/>
      <c r="AM74" s="924"/>
      <c r="AN74" s="924"/>
      <c r="AO74" s="924"/>
      <c r="AP74" s="924"/>
      <c r="AQ74" s="924"/>
      <c r="AR74" s="924"/>
      <c r="AS74" s="924"/>
      <c r="AT74" s="924"/>
      <c r="AU74" s="954"/>
      <c r="AV74" s="954"/>
      <c r="AW74" s="954"/>
      <c r="AX74" s="957"/>
      <c r="AY74" s="924"/>
      <c r="AZ74" s="924"/>
      <c r="BA74" s="924"/>
      <c r="BB74" s="924"/>
      <c r="BC74" s="924"/>
      <c r="BD74" s="924"/>
      <c r="BE74" s="924"/>
      <c r="BF74" s="924"/>
      <c r="BG74" s="955"/>
      <c r="BH74" s="924"/>
    </row>
    <row r="75" spans="1:60" ht="18" customHeight="1" x14ac:dyDescent="0.25">
      <c r="A75" s="1314"/>
      <c r="B75" s="954"/>
      <c r="C75" s="954"/>
      <c r="D75" s="954"/>
      <c r="E75" s="954"/>
      <c r="F75" s="954"/>
      <c r="G75" s="954"/>
      <c r="H75" s="954"/>
      <c r="I75" s="954"/>
      <c r="J75" s="954"/>
      <c r="K75" s="954"/>
      <c r="L75" s="954"/>
      <c r="M75" s="954"/>
      <c r="N75" s="954"/>
      <c r="O75" s="954"/>
      <c r="P75" s="954"/>
      <c r="Q75" s="954"/>
      <c r="R75" s="954"/>
      <c r="S75" s="954"/>
      <c r="T75" s="954"/>
      <c r="U75" s="954"/>
      <c r="V75" s="955"/>
      <c r="W75" s="954"/>
      <c r="X75" s="954"/>
      <c r="Y75" s="954"/>
      <c r="Z75" s="954"/>
      <c r="AA75" s="954"/>
      <c r="AB75" s="956"/>
      <c r="AC75" s="954"/>
      <c r="AD75" s="954"/>
      <c r="AE75" s="924"/>
      <c r="AF75" s="924"/>
      <c r="AG75" s="924"/>
      <c r="AH75" s="924"/>
      <c r="AI75" s="924"/>
      <c r="AJ75" s="924"/>
      <c r="AK75" s="924"/>
      <c r="AL75" s="924"/>
      <c r="AM75" s="924"/>
      <c r="AN75" s="924"/>
      <c r="AO75" s="924"/>
      <c r="AP75" s="924"/>
      <c r="AQ75" s="924"/>
      <c r="AR75" s="924"/>
      <c r="AS75" s="924"/>
      <c r="AT75" s="924"/>
      <c r="AU75" s="954"/>
      <c r="AV75" s="954"/>
      <c r="AW75" s="954"/>
      <c r="AX75" s="957"/>
      <c r="AY75" s="924"/>
      <c r="AZ75" s="924"/>
      <c r="BA75" s="924"/>
      <c r="BB75" s="924"/>
      <c r="BC75" s="924"/>
      <c r="BD75" s="924"/>
      <c r="BE75" s="924"/>
      <c r="BF75" s="924"/>
      <c r="BG75" s="955"/>
      <c r="BH75" s="924"/>
    </row>
    <row r="76" spans="1:60" ht="18" customHeight="1" x14ac:dyDescent="0.25">
      <c r="A76" s="1314"/>
      <c r="B76" s="954"/>
      <c r="C76" s="954"/>
      <c r="D76" s="954"/>
      <c r="E76" s="954"/>
      <c r="F76" s="954"/>
      <c r="G76" s="954"/>
      <c r="H76" s="954"/>
      <c r="I76" s="954"/>
      <c r="J76" s="954"/>
      <c r="K76" s="954"/>
      <c r="L76" s="954"/>
      <c r="M76" s="954"/>
      <c r="N76" s="954"/>
      <c r="O76" s="954"/>
      <c r="P76" s="954"/>
      <c r="Q76" s="954"/>
      <c r="R76" s="954"/>
      <c r="S76" s="954"/>
      <c r="T76" s="954"/>
      <c r="U76" s="954"/>
      <c r="V76" s="955"/>
      <c r="W76" s="954"/>
      <c r="X76" s="954"/>
      <c r="Y76" s="954"/>
      <c r="Z76" s="954"/>
      <c r="AA76" s="954"/>
      <c r="AB76" s="956"/>
      <c r="AC76" s="954"/>
      <c r="AD76" s="954"/>
      <c r="AE76" s="924"/>
      <c r="AF76" s="924"/>
      <c r="AG76" s="924"/>
      <c r="AH76" s="924"/>
      <c r="AI76" s="924"/>
      <c r="AJ76" s="924"/>
      <c r="AK76" s="924"/>
      <c r="AL76" s="924"/>
      <c r="AM76" s="924"/>
      <c r="AN76" s="924"/>
      <c r="AO76" s="924"/>
      <c r="AP76" s="924"/>
      <c r="AQ76" s="924"/>
      <c r="AR76" s="924"/>
      <c r="AS76" s="924"/>
      <c r="AT76" s="924"/>
      <c r="AU76" s="954"/>
      <c r="AV76" s="954"/>
      <c r="AW76" s="954"/>
      <c r="AX76" s="957"/>
      <c r="AY76" s="924"/>
      <c r="AZ76" s="924"/>
      <c r="BA76" s="924"/>
      <c r="BB76" s="924"/>
      <c r="BC76" s="924"/>
      <c r="BD76" s="924"/>
      <c r="BE76" s="924"/>
      <c r="BF76" s="924"/>
      <c r="BG76" s="955"/>
      <c r="BH76" s="924"/>
    </row>
    <row r="77" spans="1:60" ht="18" customHeight="1" x14ac:dyDescent="0.25">
      <c r="A77" s="1314"/>
      <c r="B77" s="954"/>
      <c r="C77" s="954"/>
      <c r="D77" s="954"/>
      <c r="E77" s="954"/>
      <c r="F77" s="954"/>
      <c r="G77" s="954"/>
      <c r="H77" s="954"/>
      <c r="I77" s="954"/>
      <c r="J77" s="954"/>
      <c r="K77" s="954"/>
      <c r="L77" s="954"/>
      <c r="M77" s="954"/>
      <c r="N77" s="954"/>
      <c r="O77" s="954"/>
      <c r="P77" s="954"/>
      <c r="Q77" s="954"/>
      <c r="R77" s="954"/>
      <c r="S77" s="954"/>
      <c r="T77" s="954"/>
      <c r="U77" s="954"/>
      <c r="V77" s="955"/>
      <c r="W77" s="954"/>
      <c r="X77" s="954"/>
      <c r="Y77" s="954"/>
      <c r="Z77" s="954"/>
      <c r="AA77" s="954"/>
      <c r="AB77" s="956"/>
      <c r="AC77" s="954"/>
      <c r="AD77" s="954"/>
      <c r="AE77" s="924"/>
      <c r="AF77" s="924"/>
      <c r="AG77" s="924"/>
      <c r="AH77" s="924"/>
      <c r="AI77" s="924"/>
      <c r="AJ77" s="924"/>
      <c r="AK77" s="924"/>
      <c r="AL77" s="924"/>
      <c r="AM77" s="924"/>
      <c r="AN77" s="924"/>
      <c r="AO77" s="924"/>
      <c r="AP77" s="924"/>
      <c r="AQ77" s="924"/>
      <c r="AR77" s="924"/>
      <c r="AS77" s="924"/>
      <c r="AT77" s="924"/>
      <c r="AU77" s="954"/>
      <c r="AV77" s="954"/>
      <c r="AW77" s="954"/>
      <c r="AX77" s="957"/>
      <c r="AY77" s="924"/>
      <c r="AZ77" s="924"/>
      <c r="BA77" s="924"/>
      <c r="BB77" s="924"/>
      <c r="BC77" s="924"/>
      <c r="BD77" s="924"/>
      <c r="BE77" s="924"/>
      <c r="BF77" s="924"/>
      <c r="BG77" s="955"/>
      <c r="BH77" s="924"/>
    </row>
    <row r="78" spans="1:60" ht="18" customHeight="1" x14ac:dyDescent="0.25">
      <c r="A78" s="1314"/>
      <c r="B78" s="954"/>
      <c r="C78" s="954"/>
      <c r="D78" s="954"/>
      <c r="E78" s="954"/>
      <c r="F78" s="954"/>
      <c r="G78" s="954"/>
      <c r="H78" s="954"/>
      <c r="I78" s="954"/>
      <c r="J78" s="954"/>
      <c r="K78" s="954"/>
      <c r="L78" s="954"/>
      <c r="M78" s="954"/>
      <c r="N78" s="954"/>
      <c r="O78" s="954"/>
      <c r="P78" s="954"/>
      <c r="Q78" s="954"/>
      <c r="R78" s="954"/>
      <c r="S78" s="954"/>
      <c r="T78" s="954"/>
      <c r="U78" s="954"/>
      <c r="V78" s="955"/>
      <c r="W78" s="954"/>
      <c r="X78" s="954"/>
      <c r="Y78" s="954"/>
      <c r="Z78" s="954"/>
      <c r="AA78" s="954"/>
      <c r="AB78" s="956"/>
      <c r="AC78" s="954"/>
      <c r="AD78" s="954"/>
      <c r="AE78" s="924"/>
      <c r="AF78" s="924"/>
      <c r="AG78" s="924"/>
      <c r="AH78" s="924"/>
      <c r="AI78" s="924"/>
      <c r="AJ78" s="924"/>
      <c r="AK78" s="924"/>
      <c r="AL78" s="924"/>
      <c r="AM78" s="924"/>
      <c r="AN78" s="924"/>
      <c r="AO78" s="924"/>
      <c r="AP78" s="924"/>
      <c r="AQ78" s="924"/>
      <c r="AR78" s="924"/>
      <c r="AS78" s="924"/>
      <c r="AT78" s="924"/>
      <c r="AU78" s="954"/>
      <c r="AV78" s="954"/>
      <c r="AW78" s="954"/>
      <c r="AX78" s="957"/>
      <c r="AY78" s="924"/>
      <c r="AZ78" s="924"/>
      <c r="BA78" s="924"/>
      <c r="BB78" s="924"/>
      <c r="BC78" s="924"/>
      <c r="BD78" s="924"/>
      <c r="BE78" s="924"/>
      <c r="BF78" s="924"/>
      <c r="BG78" s="955"/>
      <c r="BH78" s="924"/>
    </row>
    <row r="79" spans="1:60" ht="18" customHeight="1" x14ac:dyDescent="0.25">
      <c r="A79" s="1314"/>
      <c r="B79" s="954"/>
      <c r="C79" s="954"/>
      <c r="D79" s="954"/>
      <c r="E79" s="954"/>
      <c r="F79" s="954"/>
      <c r="G79" s="954"/>
      <c r="H79" s="954"/>
      <c r="I79" s="954"/>
      <c r="J79" s="954"/>
      <c r="K79" s="954"/>
      <c r="L79" s="954"/>
      <c r="M79" s="954"/>
      <c r="N79" s="954"/>
      <c r="O79" s="954"/>
      <c r="P79" s="954"/>
      <c r="Q79" s="954"/>
      <c r="R79" s="954"/>
      <c r="S79" s="954"/>
      <c r="T79" s="954"/>
      <c r="U79" s="954"/>
      <c r="V79" s="955"/>
      <c r="W79" s="954"/>
      <c r="X79" s="954"/>
      <c r="Y79" s="954"/>
      <c r="Z79" s="954"/>
      <c r="AA79" s="954"/>
      <c r="AB79" s="956"/>
      <c r="AC79" s="954"/>
      <c r="AD79" s="954"/>
      <c r="AE79" s="924"/>
      <c r="AF79" s="924"/>
      <c r="AG79" s="924"/>
      <c r="AH79" s="924"/>
      <c r="AI79" s="924"/>
      <c r="AJ79" s="924"/>
      <c r="AK79" s="924"/>
      <c r="AL79" s="924"/>
      <c r="AM79" s="924"/>
      <c r="AN79" s="924"/>
      <c r="AO79" s="924"/>
      <c r="AP79" s="924"/>
      <c r="AQ79" s="924"/>
      <c r="AR79" s="924"/>
      <c r="AS79" s="924"/>
      <c r="AT79" s="924"/>
      <c r="AU79" s="954"/>
      <c r="AV79" s="954"/>
      <c r="AW79" s="954"/>
      <c r="AX79" s="957"/>
      <c r="AY79" s="924"/>
      <c r="AZ79" s="924"/>
      <c r="BA79" s="924"/>
      <c r="BB79" s="924"/>
      <c r="BC79" s="924"/>
      <c r="BD79" s="924"/>
      <c r="BE79" s="924"/>
      <c r="BF79" s="924"/>
      <c r="BG79" s="955"/>
      <c r="BH79" s="924"/>
    </row>
    <row r="80" spans="1:60" ht="18" customHeight="1" x14ac:dyDescent="0.25">
      <c r="A80" s="1314"/>
      <c r="B80" s="954"/>
      <c r="C80" s="954"/>
      <c r="D80" s="954"/>
      <c r="E80" s="954"/>
      <c r="F80" s="954"/>
      <c r="G80" s="954"/>
      <c r="H80" s="954"/>
      <c r="I80" s="954"/>
      <c r="J80" s="954"/>
      <c r="K80" s="954"/>
      <c r="L80" s="954"/>
      <c r="M80" s="954"/>
      <c r="N80" s="954"/>
      <c r="O80" s="954"/>
      <c r="P80" s="954"/>
      <c r="Q80" s="954"/>
      <c r="R80" s="954"/>
      <c r="S80" s="954"/>
      <c r="T80" s="954"/>
      <c r="U80" s="954"/>
      <c r="V80" s="955"/>
      <c r="W80" s="954"/>
      <c r="X80" s="954"/>
      <c r="Y80" s="954"/>
      <c r="Z80" s="954"/>
      <c r="AA80" s="954"/>
      <c r="AB80" s="956"/>
      <c r="AC80" s="954"/>
      <c r="AD80" s="954"/>
      <c r="AE80" s="924"/>
      <c r="AF80" s="924"/>
      <c r="AG80" s="924"/>
      <c r="AH80" s="924"/>
      <c r="AI80" s="924"/>
      <c r="AJ80" s="924"/>
      <c r="AK80" s="924"/>
      <c r="AL80" s="924"/>
      <c r="AM80" s="924"/>
      <c r="AN80" s="924"/>
      <c r="AO80" s="924"/>
      <c r="AP80" s="924"/>
      <c r="AQ80" s="924"/>
      <c r="AR80" s="924"/>
      <c r="AS80" s="924"/>
      <c r="AT80" s="924"/>
      <c r="AU80" s="954"/>
      <c r="AV80" s="954"/>
      <c r="AW80" s="954"/>
      <c r="AX80" s="957"/>
      <c r="AY80" s="924"/>
      <c r="AZ80" s="924"/>
      <c r="BA80" s="924"/>
      <c r="BB80" s="924"/>
      <c r="BC80" s="924"/>
      <c r="BD80" s="924"/>
      <c r="BE80" s="924"/>
      <c r="BF80" s="924"/>
      <c r="BG80" s="955"/>
      <c r="BH80" s="924"/>
    </row>
    <row r="81" spans="1:60" ht="18" customHeight="1" x14ac:dyDescent="0.25">
      <c r="A81" s="1314"/>
      <c r="B81" s="954"/>
      <c r="C81" s="954"/>
      <c r="D81" s="954"/>
      <c r="E81" s="954"/>
      <c r="F81" s="954"/>
      <c r="G81" s="954"/>
      <c r="H81" s="954"/>
      <c r="I81" s="954"/>
      <c r="J81" s="954"/>
      <c r="K81" s="954"/>
      <c r="L81" s="954"/>
      <c r="M81" s="954"/>
      <c r="N81" s="954"/>
      <c r="O81" s="954"/>
      <c r="P81" s="954"/>
      <c r="Q81" s="954"/>
      <c r="R81" s="954"/>
      <c r="S81" s="954"/>
      <c r="T81" s="954"/>
      <c r="U81" s="954"/>
      <c r="V81" s="955"/>
      <c r="W81" s="954"/>
      <c r="X81" s="954"/>
      <c r="Y81" s="954"/>
      <c r="Z81" s="954"/>
      <c r="AA81" s="954"/>
      <c r="AB81" s="956"/>
      <c r="AC81" s="954"/>
      <c r="AD81" s="954"/>
      <c r="AE81" s="924"/>
      <c r="AF81" s="924"/>
      <c r="AG81" s="924"/>
      <c r="AH81" s="924"/>
      <c r="AI81" s="924"/>
      <c r="AJ81" s="924"/>
      <c r="AK81" s="924"/>
      <c r="AL81" s="924"/>
      <c r="AM81" s="924"/>
      <c r="AN81" s="924"/>
      <c r="AO81" s="924"/>
      <c r="AP81" s="924"/>
      <c r="AQ81" s="924"/>
      <c r="AR81" s="924"/>
      <c r="AS81" s="924"/>
      <c r="AT81" s="924"/>
      <c r="AU81" s="954"/>
      <c r="AV81" s="954"/>
      <c r="AW81" s="954"/>
      <c r="AX81" s="957"/>
      <c r="AY81" s="924"/>
      <c r="AZ81" s="924"/>
      <c r="BA81" s="924"/>
      <c r="BB81" s="924"/>
      <c r="BC81" s="924"/>
      <c r="BD81" s="924"/>
      <c r="BE81" s="924"/>
      <c r="BF81" s="924"/>
      <c r="BG81" s="955"/>
      <c r="BH81" s="924"/>
    </row>
    <row r="82" spans="1:60" ht="18" customHeight="1" x14ac:dyDescent="0.25">
      <c r="A82" s="1314"/>
      <c r="B82" s="954"/>
      <c r="C82" s="954"/>
      <c r="D82" s="954"/>
      <c r="E82" s="954"/>
      <c r="F82" s="954"/>
      <c r="G82" s="954"/>
      <c r="H82" s="954"/>
      <c r="I82" s="954"/>
      <c r="J82" s="954"/>
      <c r="K82" s="954"/>
      <c r="L82" s="954"/>
      <c r="M82" s="954"/>
      <c r="N82" s="954"/>
      <c r="O82" s="954"/>
      <c r="P82" s="954"/>
      <c r="Q82" s="954"/>
      <c r="R82" s="954"/>
      <c r="S82" s="954"/>
      <c r="T82" s="954"/>
      <c r="U82" s="954"/>
      <c r="V82" s="955"/>
      <c r="W82" s="954"/>
      <c r="X82" s="954"/>
      <c r="Y82" s="954"/>
      <c r="Z82" s="954"/>
      <c r="AA82" s="954"/>
      <c r="AB82" s="956"/>
      <c r="AC82" s="954"/>
      <c r="AD82" s="954"/>
      <c r="AE82" s="924"/>
      <c r="AF82" s="924"/>
      <c r="AG82" s="924"/>
      <c r="AH82" s="924"/>
      <c r="AI82" s="924"/>
      <c r="AJ82" s="924"/>
      <c r="AK82" s="924"/>
      <c r="AL82" s="924"/>
      <c r="AM82" s="924"/>
      <c r="AN82" s="924"/>
      <c r="AO82" s="924"/>
      <c r="AP82" s="924"/>
      <c r="AQ82" s="924"/>
      <c r="AR82" s="924"/>
      <c r="AS82" s="924"/>
      <c r="AT82" s="924"/>
      <c r="AU82" s="954"/>
      <c r="AV82" s="954"/>
      <c r="AW82" s="954"/>
      <c r="AX82" s="957"/>
      <c r="AY82" s="924"/>
      <c r="AZ82" s="924"/>
      <c r="BA82" s="924"/>
      <c r="BB82" s="924"/>
      <c r="BC82" s="924"/>
      <c r="BD82" s="924"/>
      <c r="BE82" s="924"/>
      <c r="BF82" s="924"/>
      <c r="BG82" s="955"/>
      <c r="BH82" s="924"/>
    </row>
    <row r="83" spans="1:60" ht="18" customHeight="1" x14ac:dyDescent="0.25">
      <c r="A83" s="1314"/>
      <c r="B83" s="954"/>
      <c r="C83" s="954"/>
      <c r="D83" s="954"/>
      <c r="E83" s="954"/>
      <c r="F83" s="954"/>
      <c r="G83" s="954"/>
      <c r="H83" s="954"/>
      <c r="I83" s="954"/>
      <c r="J83" s="954"/>
      <c r="K83" s="954"/>
      <c r="L83" s="954"/>
      <c r="M83" s="954"/>
      <c r="N83" s="954"/>
      <c r="O83" s="954"/>
      <c r="P83" s="954"/>
      <c r="Q83" s="954"/>
      <c r="R83" s="954"/>
      <c r="S83" s="954"/>
      <c r="T83" s="954"/>
      <c r="U83" s="954"/>
      <c r="V83" s="955"/>
      <c r="W83" s="954"/>
      <c r="X83" s="954"/>
      <c r="Y83" s="954"/>
      <c r="Z83" s="954"/>
      <c r="AA83" s="954"/>
      <c r="AB83" s="956"/>
      <c r="AC83" s="954"/>
      <c r="AD83" s="954"/>
      <c r="AE83" s="924"/>
      <c r="AF83" s="924"/>
      <c r="AG83" s="924"/>
      <c r="AH83" s="924"/>
      <c r="AI83" s="924"/>
      <c r="AJ83" s="924"/>
      <c r="AK83" s="924"/>
      <c r="AL83" s="924"/>
      <c r="AM83" s="924"/>
      <c r="AN83" s="924"/>
      <c r="AO83" s="924"/>
      <c r="AP83" s="924"/>
      <c r="AQ83" s="924"/>
      <c r="AR83" s="924"/>
      <c r="AS83" s="924"/>
      <c r="AT83" s="924"/>
      <c r="AU83" s="954"/>
      <c r="AV83" s="954"/>
      <c r="AW83" s="954"/>
      <c r="AX83" s="957"/>
      <c r="AY83" s="924"/>
      <c r="AZ83" s="924"/>
      <c r="BA83" s="924"/>
      <c r="BB83" s="924"/>
      <c r="BC83" s="924"/>
      <c r="BD83" s="924"/>
      <c r="BE83" s="924"/>
      <c r="BF83" s="924"/>
      <c r="BG83" s="955"/>
      <c r="BH83" s="924"/>
    </row>
    <row r="84" spans="1:60" ht="18" customHeight="1" x14ac:dyDescent="0.25">
      <c r="A84" s="1314"/>
      <c r="B84" s="954"/>
      <c r="C84" s="954"/>
      <c r="D84" s="954"/>
      <c r="E84" s="954"/>
      <c r="F84" s="954"/>
      <c r="G84" s="954"/>
      <c r="H84" s="954"/>
      <c r="I84" s="954"/>
      <c r="J84" s="954"/>
      <c r="K84" s="954"/>
      <c r="L84" s="954"/>
      <c r="M84" s="954"/>
      <c r="N84" s="954"/>
      <c r="O84" s="954"/>
      <c r="P84" s="954"/>
      <c r="Q84" s="954"/>
      <c r="R84" s="954"/>
      <c r="S84" s="954"/>
      <c r="T84" s="954"/>
      <c r="U84" s="954"/>
      <c r="V84" s="955"/>
      <c r="W84" s="954"/>
      <c r="X84" s="954"/>
      <c r="Y84" s="954"/>
      <c r="Z84" s="954"/>
      <c r="AA84" s="954"/>
      <c r="AB84" s="956"/>
      <c r="AC84" s="954"/>
      <c r="AD84" s="954"/>
      <c r="AE84" s="924"/>
      <c r="AF84" s="924"/>
      <c r="AG84" s="924"/>
      <c r="AH84" s="924"/>
      <c r="AI84" s="924"/>
      <c r="AJ84" s="924"/>
      <c r="AK84" s="924"/>
      <c r="AL84" s="924"/>
      <c r="AM84" s="924"/>
      <c r="AN84" s="924"/>
      <c r="AO84" s="924"/>
      <c r="AP84" s="924"/>
      <c r="AQ84" s="924"/>
      <c r="AR84" s="924"/>
      <c r="AS84" s="924"/>
      <c r="AT84" s="924"/>
      <c r="AU84" s="954"/>
      <c r="AV84" s="954"/>
      <c r="AW84" s="954"/>
      <c r="AX84" s="957"/>
      <c r="AY84" s="924"/>
      <c r="AZ84" s="924"/>
      <c r="BA84" s="924"/>
      <c r="BB84" s="924"/>
      <c r="BC84" s="924"/>
      <c r="BD84" s="924"/>
      <c r="BE84" s="924"/>
      <c r="BF84" s="924"/>
      <c r="BG84" s="955"/>
      <c r="BH84" s="924"/>
    </row>
    <row r="85" spans="1:60" ht="18" customHeight="1" x14ac:dyDescent="0.25">
      <c r="A85" s="1314"/>
      <c r="B85" s="954"/>
      <c r="C85" s="954"/>
      <c r="D85" s="954"/>
      <c r="E85" s="954"/>
      <c r="F85" s="954"/>
      <c r="G85" s="954"/>
      <c r="H85" s="954"/>
      <c r="I85" s="954"/>
      <c r="J85" s="954"/>
      <c r="K85" s="954"/>
      <c r="L85" s="954"/>
      <c r="M85" s="954"/>
      <c r="N85" s="954"/>
      <c r="O85" s="954"/>
      <c r="P85" s="954"/>
      <c r="Q85" s="954"/>
      <c r="R85" s="954"/>
      <c r="S85" s="954"/>
      <c r="T85" s="954"/>
      <c r="U85" s="954"/>
      <c r="V85" s="955"/>
      <c r="W85" s="954"/>
      <c r="X85" s="954"/>
      <c r="Y85" s="954"/>
      <c r="Z85" s="954"/>
      <c r="AA85" s="954"/>
      <c r="AB85" s="956"/>
      <c r="AC85" s="954"/>
      <c r="AD85" s="954"/>
      <c r="AE85" s="924"/>
      <c r="AF85" s="924"/>
      <c r="AG85" s="924"/>
      <c r="AH85" s="924"/>
      <c r="AI85" s="924"/>
      <c r="AJ85" s="924"/>
      <c r="AK85" s="924"/>
      <c r="AL85" s="924"/>
      <c r="AM85" s="924"/>
      <c r="AN85" s="924"/>
      <c r="AO85" s="924"/>
      <c r="AP85" s="924"/>
      <c r="AQ85" s="924"/>
      <c r="AR85" s="924"/>
      <c r="AS85" s="924"/>
      <c r="AT85" s="924"/>
      <c r="AU85" s="954"/>
      <c r="AV85" s="954"/>
      <c r="AW85" s="954"/>
      <c r="AX85" s="957"/>
      <c r="AY85" s="924"/>
      <c r="AZ85" s="924"/>
      <c r="BA85" s="924"/>
      <c r="BB85" s="924"/>
      <c r="BC85" s="924"/>
      <c r="BD85" s="924"/>
      <c r="BE85" s="924"/>
      <c r="BF85" s="924"/>
      <c r="BG85" s="955"/>
      <c r="BH85" s="924"/>
    </row>
    <row r="86" spans="1:60" ht="18" customHeight="1" x14ac:dyDescent="0.25">
      <c r="A86" s="1314"/>
      <c r="B86" s="954"/>
      <c r="C86" s="954"/>
      <c r="D86" s="954"/>
      <c r="E86" s="954"/>
      <c r="F86" s="954"/>
      <c r="G86" s="954"/>
      <c r="H86" s="954"/>
      <c r="I86" s="954"/>
      <c r="J86" s="954"/>
      <c r="K86" s="954"/>
      <c r="L86" s="954"/>
      <c r="M86" s="954"/>
      <c r="N86" s="954"/>
      <c r="O86" s="954"/>
      <c r="P86" s="954"/>
      <c r="Q86" s="954"/>
      <c r="R86" s="954"/>
      <c r="S86" s="954"/>
      <c r="T86" s="954"/>
      <c r="U86" s="954"/>
      <c r="V86" s="955"/>
      <c r="W86" s="954"/>
      <c r="X86" s="954"/>
      <c r="Y86" s="954"/>
      <c r="Z86" s="954"/>
      <c r="AA86" s="954"/>
      <c r="AB86" s="956"/>
      <c r="AC86" s="954"/>
      <c r="AD86" s="954"/>
      <c r="AE86" s="924"/>
      <c r="AF86" s="924"/>
      <c r="AG86" s="924"/>
      <c r="AH86" s="924"/>
      <c r="AI86" s="924"/>
      <c r="AJ86" s="924"/>
      <c r="AK86" s="924"/>
      <c r="AL86" s="924"/>
      <c r="AM86" s="924"/>
      <c r="AN86" s="924"/>
      <c r="AO86" s="924"/>
      <c r="AP86" s="924"/>
      <c r="AQ86" s="924"/>
      <c r="AR86" s="924"/>
      <c r="AS86" s="924"/>
      <c r="AT86" s="924"/>
      <c r="AU86" s="954"/>
      <c r="AV86" s="954"/>
      <c r="AW86" s="954"/>
      <c r="AX86" s="957"/>
      <c r="AY86" s="924"/>
      <c r="AZ86" s="924"/>
      <c r="BA86" s="924"/>
      <c r="BB86" s="924"/>
      <c r="BC86" s="924"/>
      <c r="BD86" s="924"/>
      <c r="BE86" s="924"/>
      <c r="BF86" s="924"/>
      <c r="BG86" s="955"/>
      <c r="BH86" s="924"/>
    </row>
    <row r="87" spans="1:60" ht="18" customHeight="1" x14ac:dyDescent="0.25">
      <c r="A87" s="1314"/>
      <c r="B87" s="954"/>
      <c r="C87" s="954"/>
      <c r="D87" s="954"/>
      <c r="E87" s="954"/>
      <c r="F87" s="954"/>
      <c r="G87" s="954"/>
      <c r="H87" s="954"/>
      <c r="I87" s="954"/>
      <c r="J87" s="954"/>
      <c r="K87" s="954"/>
      <c r="L87" s="954"/>
      <c r="M87" s="954"/>
      <c r="N87" s="954"/>
      <c r="O87" s="954"/>
      <c r="P87" s="954"/>
      <c r="Q87" s="954"/>
      <c r="R87" s="954"/>
      <c r="S87" s="954"/>
      <c r="T87" s="954"/>
      <c r="U87" s="954"/>
      <c r="V87" s="955"/>
      <c r="W87" s="954"/>
      <c r="X87" s="954"/>
      <c r="Y87" s="954"/>
      <c r="Z87" s="954"/>
      <c r="AA87" s="954"/>
      <c r="AB87" s="956"/>
      <c r="AC87" s="954"/>
      <c r="AD87" s="954"/>
      <c r="AE87" s="924"/>
      <c r="AF87" s="924"/>
      <c r="AG87" s="924"/>
      <c r="AH87" s="924"/>
      <c r="AI87" s="924"/>
      <c r="AJ87" s="924"/>
      <c r="AK87" s="924"/>
      <c r="AL87" s="924"/>
      <c r="AM87" s="924"/>
      <c r="AN87" s="924"/>
      <c r="AO87" s="924"/>
      <c r="AP87" s="924"/>
      <c r="AQ87" s="924"/>
      <c r="AR87" s="924"/>
      <c r="AS87" s="924"/>
      <c r="AT87" s="924"/>
      <c r="AU87" s="954"/>
      <c r="AV87" s="954"/>
      <c r="AW87" s="954"/>
      <c r="AX87" s="957"/>
      <c r="AY87" s="924"/>
      <c r="AZ87" s="924"/>
      <c r="BA87" s="924"/>
      <c r="BB87" s="924"/>
      <c r="BC87" s="924"/>
      <c r="BD87" s="924"/>
      <c r="BE87" s="924"/>
      <c r="BF87" s="924"/>
      <c r="BG87" s="955"/>
      <c r="BH87" s="924"/>
    </row>
    <row r="88" spans="1:60" ht="18" customHeight="1" x14ac:dyDescent="0.25">
      <c r="A88" s="1314"/>
      <c r="B88" s="954"/>
      <c r="C88" s="954"/>
      <c r="D88" s="954"/>
      <c r="E88" s="954"/>
      <c r="F88" s="954"/>
      <c r="G88" s="954"/>
      <c r="H88" s="954"/>
      <c r="I88" s="954"/>
      <c r="J88" s="954"/>
      <c r="K88" s="954"/>
      <c r="L88" s="954"/>
      <c r="M88" s="954"/>
      <c r="N88" s="954"/>
      <c r="O88" s="954"/>
      <c r="P88" s="954"/>
      <c r="Q88" s="954"/>
      <c r="R88" s="954"/>
      <c r="S88" s="954"/>
      <c r="T88" s="954"/>
      <c r="U88" s="954"/>
      <c r="V88" s="955"/>
      <c r="W88" s="954"/>
      <c r="X88" s="954"/>
      <c r="Y88" s="954"/>
      <c r="Z88" s="954"/>
      <c r="AA88" s="954"/>
      <c r="AB88" s="956"/>
      <c r="AC88" s="954"/>
      <c r="AD88" s="954"/>
      <c r="AE88" s="924"/>
      <c r="AF88" s="924"/>
      <c r="AG88" s="924"/>
      <c r="AH88" s="924"/>
      <c r="AI88" s="924"/>
      <c r="AJ88" s="924"/>
      <c r="AK88" s="924"/>
      <c r="AL88" s="924"/>
      <c r="AM88" s="924"/>
      <c r="AN88" s="924"/>
      <c r="AO88" s="924"/>
      <c r="AP88" s="924"/>
      <c r="AQ88" s="924"/>
      <c r="AR88" s="924"/>
      <c r="AS88" s="924"/>
      <c r="AT88" s="924"/>
      <c r="AU88" s="954"/>
      <c r="AV88" s="954"/>
      <c r="AW88" s="954"/>
      <c r="AX88" s="957"/>
      <c r="AY88" s="924"/>
      <c r="AZ88" s="924"/>
      <c r="BA88" s="924"/>
      <c r="BB88" s="924"/>
      <c r="BC88" s="924"/>
      <c r="BD88" s="924"/>
      <c r="BE88" s="924"/>
      <c r="BF88" s="924"/>
      <c r="BG88" s="955"/>
      <c r="BH88" s="924"/>
    </row>
    <row r="89" spans="1:60" ht="18" customHeight="1" x14ac:dyDescent="0.25">
      <c r="A89" s="1314"/>
      <c r="B89" s="954"/>
      <c r="C89" s="954"/>
      <c r="D89" s="954"/>
      <c r="E89" s="954"/>
      <c r="F89" s="954"/>
      <c r="G89" s="954"/>
      <c r="H89" s="954"/>
      <c r="I89" s="954"/>
      <c r="J89" s="954"/>
      <c r="K89" s="954"/>
      <c r="L89" s="954"/>
      <c r="M89" s="954"/>
      <c r="N89" s="954"/>
      <c r="O89" s="954"/>
      <c r="P89" s="954"/>
      <c r="Q89" s="954"/>
      <c r="R89" s="954"/>
      <c r="S89" s="954"/>
      <c r="T89" s="954"/>
      <c r="U89" s="954"/>
      <c r="V89" s="955"/>
      <c r="W89" s="954"/>
      <c r="X89" s="954"/>
      <c r="Y89" s="954"/>
      <c r="Z89" s="954"/>
      <c r="AA89" s="954"/>
      <c r="AB89" s="956"/>
      <c r="AC89" s="954"/>
      <c r="AD89" s="954"/>
      <c r="AE89" s="924"/>
      <c r="AF89" s="924"/>
      <c r="AG89" s="924"/>
      <c r="AH89" s="924"/>
      <c r="AI89" s="924"/>
      <c r="AJ89" s="924"/>
      <c r="AK89" s="924"/>
      <c r="AL89" s="924"/>
      <c r="AM89" s="924"/>
      <c r="AN89" s="924"/>
      <c r="AO89" s="924"/>
      <c r="AP89" s="924"/>
      <c r="AQ89" s="924"/>
      <c r="AR89" s="924"/>
      <c r="AS89" s="924"/>
      <c r="AT89" s="924"/>
      <c r="AU89" s="954"/>
      <c r="AV89" s="954"/>
      <c r="AW89" s="954"/>
      <c r="AX89" s="957"/>
      <c r="AY89" s="924"/>
      <c r="AZ89" s="924"/>
      <c r="BA89" s="924"/>
      <c r="BB89" s="924"/>
      <c r="BC89" s="924"/>
      <c r="BD89" s="924"/>
      <c r="BE89" s="924"/>
      <c r="BF89" s="924"/>
      <c r="BG89" s="955"/>
      <c r="BH89" s="924"/>
    </row>
    <row r="90" spans="1:60" ht="18" customHeight="1" x14ac:dyDescent="0.25">
      <c r="A90" s="1314"/>
      <c r="B90" s="954"/>
      <c r="C90" s="954"/>
      <c r="D90" s="954"/>
      <c r="E90" s="954"/>
      <c r="F90" s="954"/>
      <c r="G90" s="954"/>
      <c r="H90" s="954"/>
      <c r="I90" s="954"/>
      <c r="J90" s="954"/>
      <c r="K90" s="954"/>
      <c r="L90" s="954"/>
      <c r="M90" s="954"/>
      <c r="N90" s="954"/>
      <c r="O90" s="954"/>
      <c r="P90" s="954"/>
      <c r="Q90" s="954"/>
      <c r="R90" s="954"/>
      <c r="S90" s="954"/>
      <c r="T90" s="954"/>
      <c r="U90" s="954"/>
      <c r="V90" s="955"/>
      <c r="W90" s="954"/>
      <c r="X90" s="954"/>
      <c r="Y90" s="954"/>
      <c r="Z90" s="954"/>
      <c r="AA90" s="954"/>
      <c r="AB90" s="956"/>
      <c r="AC90" s="954"/>
      <c r="AD90" s="954"/>
      <c r="AE90" s="924"/>
      <c r="AF90" s="924"/>
      <c r="AG90" s="924"/>
      <c r="AH90" s="924"/>
      <c r="AI90" s="924"/>
      <c r="AJ90" s="924"/>
      <c r="AK90" s="924"/>
      <c r="AL90" s="924"/>
      <c r="AM90" s="924"/>
      <c r="AN90" s="924"/>
      <c r="AO90" s="924"/>
      <c r="AP90" s="924"/>
      <c r="AQ90" s="924"/>
      <c r="AR90" s="924"/>
      <c r="AS90" s="924"/>
      <c r="AT90" s="924"/>
      <c r="AU90" s="954"/>
      <c r="AV90" s="954"/>
      <c r="AW90" s="954"/>
      <c r="AX90" s="957"/>
      <c r="AY90" s="924"/>
      <c r="AZ90" s="924"/>
      <c r="BA90" s="924"/>
      <c r="BB90" s="924"/>
      <c r="BC90" s="924"/>
      <c r="BD90" s="924"/>
      <c r="BE90" s="924"/>
      <c r="BF90" s="924"/>
      <c r="BG90" s="955"/>
      <c r="BH90" s="924"/>
    </row>
    <row r="91" spans="1:60" ht="18" customHeight="1" x14ac:dyDescent="0.25">
      <c r="A91" s="1314"/>
      <c r="B91" s="954"/>
      <c r="C91" s="954"/>
      <c r="D91" s="954"/>
      <c r="E91" s="954"/>
      <c r="F91" s="954"/>
      <c r="G91" s="954"/>
      <c r="H91" s="954"/>
      <c r="I91" s="954"/>
      <c r="J91" s="954"/>
      <c r="K91" s="954"/>
      <c r="L91" s="954"/>
      <c r="M91" s="954"/>
      <c r="N91" s="954"/>
      <c r="O91" s="954"/>
      <c r="P91" s="954"/>
      <c r="Q91" s="954"/>
      <c r="R91" s="954"/>
      <c r="S91" s="954"/>
      <c r="T91" s="954"/>
      <c r="U91" s="954"/>
      <c r="V91" s="955"/>
      <c r="W91" s="954"/>
      <c r="X91" s="954"/>
      <c r="Y91" s="954"/>
      <c r="Z91" s="954"/>
      <c r="AA91" s="954"/>
      <c r="AB91" s="956"/>
      <c r="AC91" s="954"/>
      <c r="AD91" s="954"/>
      <c r="AE91" s="924"/>
      <c r="AF91" s="924"/>
      <c r="AG91" s="924"/>
      <c r="AH91" s="924"/>
      <c r="AI91" s="924"/>
      <c r="AJ91" s="924"/>
      <c r="AK91" s="924"/>
      <c r="AL91" s="924"/>
      <c r="AM91" s="924"/>
      <c r="AN91" s="924"/>
      <c r="AO91" s="924"/>
      <c r="AP91" s="924"/>
      <c r="AQ91" s="924"/>
      <c r="AR91" s="924"/>
      <c r="AS91" s="924"/>
      <c r="AT91" s="924"/>
      <c r="AU91" s="954"/>
      <c r="AV91" s="954"/>
      <c r="AW91" s="954"/>
      <c r="AX91" s="957"/>
      <c r="AY91" s="924"/>
      <c r="AZ91" s="924"/>
      <c r="BA91" s="924"/>
      <c r="BB91" s="924"/>
      <c r="BC91" s="924"/>
      <c r="BD91" s="924"/>
      <c r="BE91" s="924"/>
      <c r="BF91" s="924"/>
      <c r="BG91" s="955"/>
      <c r="BH91" s="924"/>
    </row>
    <row r="92" spans="1:60" ht="18" customHeight="1" x14ac:dyDescent="0.25">
      <c r="A92" s="1314"/>
      <c r="B92" s="954"/>
      <c r="C92" s="954"/>
      <c r="D92" s="954"/>
      <c r="E92" s="954"/>
      <c r="F92" s="954"/>
      <c r="G92" s="954"/>
      <c r="H92" s="954"/>
      <c r="I92" s="954"/>
      <c r="J92" s="954"/>
      <c r="K92" s="954"/>
      <c r="L92" s="954"/>
      <c r="M92" s="954"/>
      <c r="N92" s="954"/>
      <c r="O92" s="954"/>
      <c r="P92" s="954"/>
      <c r="Q92" s="954"/>
      <c r="R92" s="954"/>
      <c r="S92" s="954"/>
      <c r="T92" s="954"/>
      <c r="U92" s="954"/>
      <c r="V92" s="955"/>
      <c r="W92" s="954"/>
      <c r="X92" s="954"/>
      <c r="Y92" s="954"/>
      <c r="Z92" s="954"/>
      <c r="AA92" s="954"/>
      <c r="AB92" s="956"/>
      <c r="AC92" s="954"/>
      <c r="AD92" s="954"/>
      <c r="AE92" s="924"/>
      <c r="AF92" s="924"/>
      <c r="AG92" s="924"/>
      <c r="AH92" s="924"/>
      <c r="AI92" s="924"/>
      <c r="AJ92" s="924"/>
      <c r="AK92" s="924"/>
      <c r="AL92" s="924"/>
      <c r="AM92" s="924"/>
      <c r="AN92" s="924"/>
      <c r="AO92" s="924"/>
      <c r="AP92" s="924"/>
      <c r="AQ92" s="924"/>
      <c r="AR92" s="924"/>
      <c r="AS92" s="924"/>
      <c r="AT92" s="924"/>
      <c r="AU92" s="954"/>
      <c r="AV92" s="954"/>
      <c r="AW92" s="954"/>
      <c r="AX92" s="957"/>
      <c r="AY92" s="924"/>
      <c r="AZ92" s="924"/>
      <c r="BA92" s="924"/>
      <c r="BB92" s="924"/>
      <c r="BC92" s="924"/>
      <c r="BD92" s="924"/>
      <c r="BE92" s="924"/>
      <c r="BF92" s="924"/>
      <c r="BG92" s="955"/>
      <c r="BH92" s="924"/>
    </row>
    <row r="93" spans="1:60" ht="18" customHeight="1" x14ac:dyDescent="0.25">
      <c r="A93" s="1314"/>
      <c r="B93" s="954"/>
      <c r="C93" s="954"/>
      <c r="D93" s="954"/>
      <c r="E93" s="954"/>
      <c r="F93" s="954"/>
      <c r="G93" s="954"/>
      <c r="H93" s="954"/>
      <c r="I93" s="954"/>
      <c r="J93" s="954"/>
      <c r="K93" s="954"/>
      <c r="L93" s="954"/>
      <c r="M93" s="954"/>
      <c r="N93" s="954"/>
      <c r="O93" s="954"/>
      <c r="P93" s="954"/>
      <c r="Q93" s="954"/>
      <c r="R93" s="954"/>
      <c r="S93" s="954"/>
      <c r="T93" s="954"/>
      <c r="U93" s="954"/>
      <c r="V93" s="955"/>
      <c r="W93" s="954"/>
      <c r="X93" s="954"/>
      <c r="Y93" s="954"/>
      <c r="Z93" s="954"/>
      <c r="AA93" s="954"/>
      <c r="AB93" s="956"/>
      <c r="AC93" s="954"/>
      <c r="AD93" s="954"/>
      <c r="AE93" s="924"/>
      <c r="AF93" s="924"/>
      <c r="AG93" s="924"/>
      <c r="AH93" s="924"/>
      <c r="AI93" s="924"/>
      <c r="AJ93" s="924"/>
      <c r="AK93" s="924"/>
      <c r="AL93" s="924"/>
      <c r="AM93" s="924"/>
      <c r="AN93" s="924"/>
      <c r="AO93" s="924"/>
      <c r="AP93" s="924"/>
      <c r="AQ93" s="924"/>
      <c r="AR93" s="924"/>
      <c r="AS93" s="924"/>
      <c r="AT93" s="924"/>
      <c r="AU93" s="954"/>
      <c r="AV93" s="954"/>
      <c r="AW93" s="954"/>
      <c r="AX93" s="957"/>
      <c r="AY93" s="924"/>
      <c r="AZ93" s="924"/>
      <c r="BA93" s="924"/>
      <c r="BB93" s="924"/>
      <c r="BC93" s="924"/>
      <c r="BD93" s="924"/>
      <c r="BE93" s="924"/>
      <c r="BF93" s="924"/>
      <c r="BG93" s="955"/>
      <c r="BH93" s="924"/>
    </row>
    <row r="94" spans="1:60" ht="18" customHeight="1" x14ac:dyDescent="0.25">
      <c r="A94" s="1314"/>
      <c r="B94" s="954"/>
      <c r="C94" s="954"/>
      <c r="D94" s="954"/>
      <c r="E94" s="954"/>
      <c r="F94" s="954"/>
      <c r="G94" s="954"/>
      <c r="H94" s="954"/>
      <c r="I94" s="954"/>
      <c r="J94" s="954"/>
      <c r="K94" s="954"/>
      <c r="L94" s="954"/>
      <c r="M94" s="954"/>
      <c r="N94" s="954"/>
      <c r="O94" s="954"/>
      <c r="P94" s="954"/>
      <c r="Q94" s="954"/>
      <c r="R94" s="954"/>
      <c r="S94" s="954"/>
      <c r="T94" s="954"/>
      <c r="U94" s="954"/>
      <c r="V94" s="955"/>
      <c r="W94" s="954"/>
      <c r="X94" s="954"/>
      <c r="Y94" s="954"/>
      <c r="Z94" s="954"/>
      <c r="AA94" s="954"/>
      <c r="AB94" s="956"/>
      <c r="AC94" s="954"/>
      <c r="AD94" s="954"/>
      <c r="AE94" s="924"/>
      <c r="AF94" s="924"/>
      <c r="AG94" s="924"/>
      <c r="AH94" s="924"/>
      <c r="AI94" s="924"/>
      <c r="AJ94" s="924"/>
      <c r="AK94" s="924"/>
      <c r="AL94" s="924"/>
      <c r="AM94" s="924"/>
      <c r="AN94" s="924"/>
      <c r="AO94" s="924"/>
      <c r="AP94" s="924"/>
      <c r="AQ94" s="924"/>
      <c r="AR94" s="924"/>
      <c r="AS94" s="924"/>
      <c r="AT94" s="924"/>
      <c r="AU94" s="954"/>
      <c r="AV94" s="954"/>
      <c r="AW94" s="954"/>
      <c r="AX94" s="957"/>
      <c r="AY94" s="924"/>
      <c r="AZ94" s="924"/>
      <c r="BA94" s="924"/>
      <c r="BB94" s="924"/>
      <c r="BC94" s="924"/>
      <c r="BD94" s="924"/>
      <c r="BE94" s="924"/>
      <c r="BF94" s="924"/>
      <c r="BG94" s="955"/>
      <c r="BH94" s="924"/>
    </row>
    <row r="95" spans="1:60" ht="18" customHeight="1" x14ac:dyDescent="0.25">
      <c r="A95" s="1314"/>
      <c r="B95" s="954"/>
      <c r="C95" s="954"/>
      <c r="D95" s="954"/>
      <c r="E95" s="954"/>
      <c r="F95" s="954"/>
      <c r="G95" s="954"/>
      <c r="H95" s="954"/>
      <c r="I95" s="954"/>
      <c r="J95" s="954"/>
      <c r="K95" s="954"/>
      <c r="L95" s="954"/>
      <c r="M95" s="954"/>
      <c r="N95" s="954"/>
      <c r="O95" s="954"/>
      <c r="P95" s="954"/>
      <c r="Q95" s="954"/>
      <c r="R95" s="954"/>
      <c r="S95" s="954"/>
      <c r="T95" s="954"/>
      <c r="U95" s="954"/>
      <c r="V95" s="955"/>
      <c r="W95" s="954"/>
      <c r="X95" s="954"/>
      <c r="Y95" s="954"/>
      <c r="Z95" s="954"/>
      <c r="AA95" s="954"/>
      <c r="AB95" s="956"/>
      <c r="AC95" s="954"/>
      <c r="AD95" s="954"/>
      <c r="AE95" s="924"/>
      <c r="AF95" s="924"/>
      <c r="AG95" s="924"/>
      <c r="AH95" s="924"/>
      <c r="AI95" s="924"/>
      <c r="AJ95" s="924"/>
      <c r="AK95" s="924"/>
      <c r="AL95" s="924"/>
      <c r="AM95" s="924"/>
      <c r="AN95" s="924"/>
      <c r="AO95" s="924"/>
      <c r="AP95" s="924"/>
      <c r="AQ95" s="924"/>
      <c r="AR95" s="924"/>
      <c r="AS95" s="924"/>
      <c r="AT95" s="924"/>
      <c r="AU95" s="954"/>
      <c r="AV95" s="954"/>
      <c r="AW95" s="954"/>
      <c r="AX95" s="957"/>
      <c r="AY95" s="924"/>
      <c r="AZ95" s="924"/>
      <c r="BA95" s="924"/>
      <c r="BB95" s="924"/>
      <c r="BC95" s="924"/>
      <c r="BD95" s="924"/>
      <c r="BE95" s="924"/>
      <c r="BF95" s="924"/>
      <c r="BG95" s="955"/>
      <c r="BH95" s="924"/>
    </row>
    <row r="96" spans="1:60" ht="18" customHeight="1" x14ac:dyDescent="0.25">
      <c r="A96" s="1314"/>
      <c r="B96" s="954"/>
      <c r="C96" s="954"/>
      <c r="D96" s="954"/>
      <c r="E96" s="954"/>
      <c r="F96" s="954"/>
      <c r="G96" s="954"/>
      <c r="H96" s="954"/>
      <c r="I96" s="954"/>
      <c r="J96" s="954"/>
      <c r="K96" s="954"/>
      <c r="L96" s="954"/>
      <c r="M96" s="954"/>
      <c r="N96" s="954"/>
      <c r="O96" s="954"/>
      <c r="P96" s="954"/>
      <c r="Q96" s="954"/>
      <c r="R96" s="954"/>
      <c r="S96" s="954"/>
      <c r="T96" s="954"/>
      <c r="U96" s="954"/>
      <c r="V96" s="955"/>
      <c r="W96" s="954"/>
      <c r="X96" s="954"/>
      <c r="Y96" s="954"/>
      <c r="Z96" s="954"/>
      <c r="AA96" s="954"/>
      <c r="AB96" s="956"/>
      <c r="AC96" s="954"/>
      <c r="AD96" s="954"/>
      <c r="AE96" s="924"/>
      <c r="AF96" s="924"/>
      <c r="AG96" s="924"/>
      <c r="AH96" s="924"/>
      <c r="AI96" s="924"/>
      <c r="AJ96" s="924"/>
      <c r="AK96" s="924"/>
      <c r="AL96" s="924"/>
      <c r="AM96" s="924"/>
      <c r="AN96" s="924"/>
      <c r="AO96" s="924"/>
      <c r="AP96" s="924"/>
      <c r="AQ96" s="924"/>
      <c r="AR96" s="924"/>
      <c r="AS96" s="924"/>
      <c r="AT96" s="924"/>
      <c r="AU96" s="954"/>
      <c r="AV96" s="954"/>
      <c r="AW96" s="954"/>
      <c r="AX96" s="957"/>
      <c r="AY96" s="924"/>
      <c r="AZ96" s="924"/>
      <c r="BA96" s="924"/>
      <c r="BB96" s="924"/>
      <c r="BC96" s="924"/>
      <c r="BD96" s="924"/>
      <c r="BE96" s="924"/>
      <c r="BF96" s="924"/>
      <c r="BG96" s="955"/>
      <c r="BH96" s="924"/>
    </row>
    <row r="97" spans="1:60" ht="18" customHeight="1" x14ac:dyDescent="0.25">
      <c r="A97" s="1314"/>
      <c r="B97" s="954"/>
      <c r="C97" s="954"/>
      <c r="D97" s="954"/>
      <c r="E97" s="954"/>
      <c r="F97" s="954"/>
      <c r="G97" s="954"/>
      <c r="H97" s="954"/>
      <c r="I97" s="954"/>
      <c r="J97" s="954"/>
      <c r="K97" s="954"/>
      <c r="L97" s="954"/>
      <c r="M97" s="954"/>
      <c r="N97" s="954"/>
      <c r="O97" s="954"/>
      <c r="P97" s="954"/>
      <c r="Q97" s="954"/>
      <c r="R97" s="954"/>
      <c r="S97" s="954"/>
      <c r="T97" s="954"/>
      <c r="U97" s="954"/>
      <c r="V97" s="955"/>
      <c r="W97" s="954"/>
      <c r="X97" s="954"/>
      <c r="Y97" s="954"/>
      <c r="Z97" s="954"/>
      <c r="AA97" s="954"/>
      <c r="AB97" s="956"/>
      <c r="AC97" s="954"/>
      <c r="AD97" s="954"/>
      <c r="AE97" s="924"/>
      <c r="AF97" s="924"/>
      <c r="AG97" s="924"/>
      <c r="AH97" s="924"/>
      <c r="AI97" s="924"/>
      <c r="AJ97" s="924"/>
      <c r="AK97" s="924"/>
      <c r="AL97" s="924"/>
      <c r="AM97" s="924"/>
      <c r="AN97" s="924"/>
      <c r="AO97" s="924"/>
      <c r="AP97" s="924"/>
      <c r="AQ97" s="924"/>
      <c r="AR97" s="924"/>
      <c r="AS97" s="924"/>
      <c r="AT97" s="924"/>
      <c r="AU97" s="954"/>
      <c r="AV97" s="954"/>
      <c r="AW97" s="954"/>
      <c r="AX97" s="957"/>
      <c r="AY97" s="924"/>
      <c r="AZ97" s="924"/>
      <c r="BA97" s="924"/>
      <c r="BB97" s="924"/>
      <c r="BC97" s="924"/>
      <c r="BD97" s="924"/>
      <c r="BE97" s="924"/>
      <c r="BF97" s="924"/>
      <c r="BG97" s="955"/>
      <c r="BH97" s="924"/>
    </row>
    <row r="98" spans="1:60" ht="18" customHeight="1" x14ac:dyDescent="0.25">
      <c r="A98" s="1314"/>
      <c r="B98" s="954"/>
      <c r="C98" s="954"/>
      <c r="D98" s="954"/>
      <c r="E98" s="954"/>
      <c r="F98" s="954"/>
      <c r="G98" s="954"/>
      <c r="H98" s="954"/>
      <c r="I98" s="954"/>
      <c r="J98" s="954"/>
      <c r="K98" s="954"/>
      <c r="L98" s="954"/>
      <c r="M98" s="954"/>
      <c r="N98" s="954"/>
      <c r="O98" s="954"/>
      <c r="P98" s="954"/>
      <c r="Q98" s="954"/>
      <c r="R98" s="954"/>
      <c r="S98" s="954"/>
      <c r="T98" s="954"/>
      <c r="U98" s="954"/>
      <c r="V98" s="955"/>
      <c r="W98" s="954"/>
      <c r="X98" s="954"/>
      <c r="Y98" s="954"/>
      <c r="Z98" s="954"/>
      <c r="AA98" s="954"/>
      <c r="AB98" s="956"/>
      <c r="AC98" s="954"/>
      <c r="AD98" s="954"/>
      <c r="AE98" s="924"/>
      <c r="AF98" s="924"/>
      <c r="AG98" s="924"/>
      <c r="AH98" s="924"/>
      <c r="AI98" s="924"/>
      <c r="AJ98" s="924"/>
      <c r="AK98" s="924"/>
      <c r="AL98" s="924"/>
      <c r="AM98" s="924"/>
      <c r="AN98" s="924"/>
      <c r="AO98" s="924"/>
      <c r="AP98" s="924"/>
      <c r="AQ98" s="924"/>
      <c r="AR98" s="924"/>
      <c r="AS98" s="924"/>
      <c r="AT98" s="924"/>
      <c r="AU98" s="954"/>
      <c r="AV98" s="954"/>
      <c r="AW98" s="954"/>
      <c r="AX98" s="957"/>
      <c r="AY98" s="924"/>
      <c r="AZ98" s="924"/>
      <c r="BA98" s="924"/>
      <c r="BB98" s="924"/>
      <c r="BC98" s="924"/>
      <c r="BD98" s="924"/>
      <c r="BE98" s="924"/>
      <c r="BF98" s="924"/>
      <c r="BG98" s="955"/>
      <c r="BH98" s="924"/>
    </row>
    <row r="99" spans="1:60" ht="18" customHeight="1" x14ac:dyDescent="0.25">
      <c r="A99" s="1314"/>
      <c r="B99" s="954"/>
      <c r="C99" s="954"/>
      <c r="D99" s="954"/>
      <c r="E99" s="954"/>
      <c r="F99" s="954"/>
      <c r="G99" s="954"/>
      <c r="H99" s="954"/>
      <c r="I99" s="954"/>
      <c r="J99" s="954"/>
      <c r="K99" s="954"/>
      <c r="L99" s="954"/>
      <c r="M99" s="954"/>
      <c r="N99" s="954"/>
      <c r="O99" s="954"/>
      <c r="P99" s="954"/>
      <c r="Q99" s="954"/>
      <c r="R99" s="954"/>
      <c r="S99" s="954"/>
      <c r="T99" s="954"/>
      <c r="U99" s="954"/>
      <c r="V99" s="955"/>
      <c r="W99" s="954"/>
      <c r="X99" s="954"/>
      <c r="Y99" s="954"/>
      <c r="Z99" s="954"/>
      <c r="AA99" s="954"/>
      <c r="AB99" s="956"/>
      <c r="AC99" s="954"/>
      <c r="AD99" s="954"/>
      <c r="AE99" s="924"/>
      <c r="AF99" s="924"/>
      <c r="AG99" s="924"/>
      <c r="AH99" s="924"/>
      <c r="AI99" s="924"/>
      <c r="AJ99" s="924"/>
      <c r="AK99" s="924"/>
      <c r="AL99" s="924"/>
      <c r="AM99" s="924"/>
      <c r="AN99" s="924"/>
      <c r="AO99" s="924"/>
      <c r="AP99" s="924"/>
      <c r="AQ99" s="924"/>
      <c r="AR99" s="924"/>
      <c r="AS99" s="924"/>
      <c r="AT99" s="924"/>
      <c r="AU99" s="954"/>
      <c r="AV99" s="954"/>
      <c r="AW99" s="954"/>
      <c r="AX99" s="957"/>
      <c r="AY99" s="924"/>
      <c r="AZ99" s="924"/>
      <c r="BA99" s="924"/>
      <c r="BB99" s="924"/>
      <c r="BC99" s="924"/>
      <c r="BD99" s="924"/>
      <c r="BE99" s="924"/>
      <c r="BF99" s="924"/>
      <c r="BG99" s="955"/>
      <c r="BH99" s="924"/>
    </row>
    <row r="100" spans="1:60" ht="18" customHeight="1" x14ac:dyDescent="0.25">
      <c r="A100" s="1314"/>
      <c r="B100" s="954"/>
      <c r="C100" s="954"/>
      <c r="D100" s="954"/>
      <c r="E100" s="954"/>
      <c r="F100" s="954"/>
      <c r="G100" s="954"/>
      <c r="H100" s="954"/>
      <c r="I100" s="954"/>
      <c r="J100" s="954"/>
      <c r="K100" s="954"/>
      <c r="L100" s="954"/>
      <c r="M100" s="954"/>
      <c r="N100" s="954"/>
      <c r="O100" s="954"/>
      <c r="P100" s="954"/>
      <c r="Q100" s="954"/>
      <c r="R100" s="954"/>
      <c r="S100" s="954"/>
      <c r="T100" s="954"/>
      <c r="U100" s="954"/>
      <c r="V100" s="955"/>
      <c r="W100" s="954"/>
      <c r="X100" s="954"/>
      <c r="Y100" s="954"/>
      <c r="Z100" s="954"/>
      <c r="AA100" s="954"/>
      <c r="AB100" s="956"/>
      <c r="AC100" s="954"/>
      <c r="AD100" s="954"/>
      <c r="AE100" s="924"/>
      <c r="AF100" s="924"/>
      <c r="AG100" s="924"/>
      <c r="AH100" s="924"/>
      <c r="AI100" s="924"/>
      <c r="AJ100" s="924"/>
      <c r="AK100" s="924"/>
      <c r="AL100" s="924"/>
      <c r="AM100" s="924"/>
      <c r="AN100" s="924"/>
      <c r="AO100" s="924"/>
      <c r="AP100" s="924"/>
      <c r="AQ100" s="924"/>
      <c r="AR100" s="924"/>
      <c r="AS100" s="924"/>
      <c r="AT100" s="924"/>
      <c r="AU100" s="954"/>
      <c r="AV100" s="954"/>
      <c r="AW100" s="954"/>
      <c r="AX100" s="957"/>
      <c r="AY100" s="924"/>
      <c r="AZ100" s="924"/>
      <c r="BA100" s="924"/>
      <c r="BB100" s="924"/>
      <c r="BC100" s="924"/>
      <c r="BD100" s="924"/>
      <c r="BE100" s="924"/>
      <c r="BF100" s="924"/>
      <c r="BG100" s="955"/>
      <c r="BH100" s="924"/>
    </row>
    <row r="101" spans="1:60" ht="18" customHeight="1" x14ac:dyDescent="0.25">
      <c r="A101" s="1314"/>
      <c r="B101" s="954"/>
      <c r="C101" s="954"/>
      <c r="D101" s="954"/>
      <c r="E101" s="954"/>
      <c r="F101" s="954"/>
      <c r="G101" s="954"/>
      <c r="H101" s="954"/>
      <c r="I101" s="954"/>
      <c r="J101" s="954"/>
      <c r="K101" s="954"/>
      <c r="L101" s="954"/>
      <c r="M101" s="954"/>
      <c r="N101" s="954"/>
      <c r="O101" s="954"/>
      <c r="P101" s="954"/>
      <c r="Q101" s="954"/>
      <c r="R101" s="954"/>
      <c r="S101" s="954"/>
      <c r="T101" s="954"/>
      <c r="U101" s="954"/>
      <c r="V101" s="955"/>
      <c r="W101" s="954"/>
      <c r="X101" s="954"/>
      <c r="Y101" s="954"/>
      <c r="Z101" s="954"/>
      <c r="AA101" s="954"/>
      <c r="AB101" s="956"/>
      <c r="AC101" s="954"/>
      <c r="AD101" s="954"/>
      <c r="AE101" s="924"/>
      <c r="AF101" s="924"/>
      <c r="AG101" s="924"/>
      <c r="AH101" s="924"/>
      <c r="AI101" s="924"/>
      <c r="AJ101" s="924"/>
      <c r="AK101" s="924"/>
      <c r="AL101" s="924"/>
      <c r="AM101" s="924"/>
      <c r="AN101" s="924"/>
      <c r="AO101" s="924"/>
      <c r="AP101" s="924"/>
      <c r="AQ101" s="924"/>
      <c r="AR101" s="924"/>
      <c r="AS101" s="924"/>
      <c r="AT101" s="924"/>
      <c r="AU101" s="954"/>
      <c r="AV101" s="954"/>
      <c r="AW101" s="954"/>
      <c r="AX101" s="957"/>
      <c r="AY101" s="924"/>
      <c r="AZ101" s="924"/>
      <c r="BA101" s="924"/>
      <c r="BB101" s="924"/>
      <c r="BC101" s="924"/>
      <c r="BD101" s="924"/>
      <c r="BE101" s="924"/>
      <c r="BF101" s="924"/>
      <c r="BG101" s="955"/>
      <c r="BH101" s="924"/>
    </row>
    <row r="102" spans="1:60" ht="18" customHeight="1" x14ac:dyDescent="0.25">
      <c r="A102" s="1314"/>
      <c r="B102" s="954"/>
      <c r="C102" s="954"/>
      <c r="D102" s="954"/>
      <c r="E102" s="954"/>
      <c r="F102" s="954"/>
      <c r="G102" s="954"/>
      <c r="H102" s="954"/>
      <c r="I102" s="954"/>
      <c r="J102" s="954"/>
      <c r="K102" s="954"/>
      <c r="L102" s="954"/>
      <c r="M102" s="954"/>
      <c r="N102" s="954"/>
      <c r="O102" s="954"/>
      <c r="P102" s="954"/>
      <c r="Q102" s="954"/>
      <c r="R102" s="954"/>
      <c r="S102" s="954"/>
      <c r="T102" s="954"/>
      <c r="U102" s="954"/>
      <c r="V102" s="955"/>
      <c r="W102" s="954"/>
      <c r="X102" s="954"/>
      <c r="Y102" s="954"/>
      <c r="Z102" s="954"/>
      <c r="AA102" s="954"/>
      <c r="AB102" s="956"/>
      <c r="AC102" s="954"/>
      <c r="AD102" s="954"/>
      <c r="AE102" s="924"/>
      <c r="AF102" s="924"/>
      <c r="AG102" s="924"/>
      <c r="AH102" s="924"/>
      <c r="AI102" s="924"/>
      <c r="AJ102" s="924"/>
      <c r="AK102" s="924"/>
      <c r="AL102" s="924"/>
      <c r="AM102" s="924"/>
      <c r="AN102" s="924"/>
      <c r="AO102" s="924"/>
      <c r="AP102" s="924"/>
      <c r="AQ102" s="924"/>
      <c r="AR102" s="924"/>
      <c r="AS102" s="924"/>
      <c r="AT102" s="924"/>
      <c r="AU102" s="954"/>
      <c r="AV102" s="954"/>
      <c r="AW102" s="954"/>
      <c r="AX102" s="957"/>
      <c r="AY102" s="924"/>
      <c r="AZ102" s="924"/>
      <c r="BA102" s="924"/>
      <c r="BB102" s="924"/>
      <c r="BC102" s="924"/>
      <c r="BD102" s="924"/>
      <c r="BE102" s="924"/>
      <c r="BF102" s="924"/>
      <c r="BG102" s="955"/>
      <c r="BH102" s="924"/>
    </row>
    <row r="103" spans="1:60" ht="18" customHeight="1" x14ac:dyDescent="0.25">
      <c r="A103" s="1314"/>
      <c r="B103" s="954"/>
      <c r="C103" s="954"/>
      <c r="D103" s="954"/>
      <c r="E103" s="954"/>
      <c r="F103" s="954"/>
      <c r="G103" s="954"/>
      <c r="H103" s="954"/>
      <c r="I103" s="954"/>
      <c r="J103" s="954"/>
      <c r="K103" s="954"/>
      <c r="L103" s="954"/>
      <c r="M103" s="954"/>
      <c r="N103" s="954"/>
      <c r="O103" s="954"/>
      <c r="P103" s="954"/>
      <c r="Q103" s="954"/>
      <c r="R103" s="954"/>
      <c r="S103" s="954"/>
      <c r="T103" s="954"/>
      <c r="U103" s="954"/>
      <c r="V103" s="955"/>
      <c r="W103" s="954"/>
      <c r="X103" s="954"/>
      <c r="Y103" s="954"/>
      <c r="Z103" s="954"/>
      <c r="AA103" s="954"/>
      <c r="AB103" s="956"/>
      <c r="AC103" s="954"/>
      <c r="AD103" s="954"/>
      <c r="AE103" s="924"/>
      <c r="AF103" s="924"/>
      <c r="AG103" s="924"/>
      <c r="AH103" s="924"/>
      <c r="AI103" s="924"/>
      <c r="AJ103" s="924"/>
      <c r="AK103" s="924"/>
      <c r="AL103" s="924"/>
      <c r="AM103" s="924"/>
      <c r="AN103" s="924"/>
      <c r="AO103" s="924"/>
      <c r="AP103" s="924"/>
      <c r="AQ103" s="924"/>
      <c r="AR103" s="924"/>
      <c r="AS103" s="924"/>
      <c r="AT103" s="924"/>
      <c r="AU103" s="954"/>
      <c r="AV103" s="954"/>
      <c r="AW103" s="954"/>
      <c r="AX103" s="957"/>
      <c r="AY103" s="924"/>
      <c r="AZ103" s="924"/>
      <c r="BA103" s="924"/>
      <c r="BB103" s="924"/>
      <c r="BC103" s="924"/>
      <c r="BD103" s="924"/>
      <c r="BE103" s="924"/>
      <c r="BF103" s="924"/>
      <c r="BG103" s="955"/>
      <c r="BH103" s="924"/>
    </row>
    <row r="104" spans="1:60" ht="18" customHeight="1" x14ac:dyDescent="0.25">
      <c r="A104" s="1314"/>
      <c r="B104" s="954"/>
      <c r="C104" s="954"/>
      <c r="D104" s="954"/>
      <c r="E104" s="954"/>
      <c r="F104" s="954"/>
      <c r="G104" s="954"/>
      <c r="H104" s="954"/>
      <c r="I104" s="954"/>
      <c r="J104" s="954"/>
      <c r="K104" s="954"/>
      <c r="L104" s="954"/>
      <c r="M104" s="954"/>
      <c r="N104" s="954"/>
      <c r="O104" s="954"/>
      <c r="P104" s="954"/>
      <c r="Q104" s="954"/>
      <c r="R104" s="954"/>
      <c r="S104" s="954"/>
      <c r="T104" s="954"/>
      <c r="U104" s="954"/>
      <c r="V104" s="955"/>
      <c r="W104" s="954"/>
      <c r="X104" s="954"/>
      <c r="Y104" s="954"/>
      <c r="Z104" s="954"/>
      <c r="AA104" s="954"/>
      <c r="AB104" s="956"/>
      <c r="AC104" s="954"/>
      <c r="AD104" s="954"/>
      <c r="AE104" s="924"/>
      <c r="AF104" s="924"/>
      <c r="AG104" s="924"/>
      <c r="AH104" s="924"/>
      <c r="AI104" s="924"/>
      <c r="AJ104" s="924"/>
      <c r="AK104" s="924"/>
      <c r="AL104" s="924"/>
      <c r="AM104" s="924"/>
      <c r="AN104" s="924"/>
      <c r="AO104" s="924"/>
      <c r="AP104" s="924"/>
      <c r="AQ104" s="924"/>
      <c r="AR104" s="924"/>
      <c r="AS104" s="924"/>
      <c r="AT104" s="924"/>
      <c r="AU104" s="954"/>
      <c r="AV104" s="954"/>
      <c r="AW104" s="954"/>
      <c r="AX104" s="957"/>
      <c r="AY104" s="924"/>
      <c r="AZ104" s="924"/>
      <c r="BA104" s="924"/>
      <c r="BB104" s="924"/>
      <c r="BC104" s="924"/>
      <c r="BD104" s="924"/>
      <c r="BE104" s="924"/>
      <c r="BF104" s="924"/>
      <c r="BG104" s="955"/>
      <c r="BH104" s="924"/>
    </row>
    <row r="105" spans="1:60" ht="18" customHeight="1" x14ac:dyDescent="0.25">
      <c r="A105" s="1314"/>
      <c r="B105" s="954"/>
      <c r="C105" s="954"/>
      <c r="D105" s="954"/>
      <c r="E105" s="954"/>
      <c r="F105" s="954"/>
      <c r="G105" s="954"/>
      <c r="H105" s="954"/>
      <c r="I105" s="954"/>
      <c r="J105" s="954"/>
      <c r="K105" s="954"/>
      <c r="L105" s="954"/>
      <c r="M105" s="954"/>
      <c r="N105" s="954"/>
      <c r="O105" s="954"/>
      <c r="P105" s="954"/>
      <c r="Q105" s="954"/>
      <c r="R105" s="954"/>
      <c r="S105" s="954"/>
      <c r="T105" s="954"/>
      <c r="U105" s="954"/>
      <c r="V105" s="955"/>
      <c r="W105" s="954"/>
      <c r="X105" s="954"/>
      <c r="Y105" s="954"/>
      <c r="Z105" s="954"/>
      <c r="AA105" s="954"/>
      <c r="AB105" s="956"/>
      <c r="AC105" s="954"/>
      <c r="AD105" s="954"/>
      <c r="AE105" s="924"/>
      <c r="AF105" s="924"/>
      <c r="AG105" s="924"/>
      <c r="AH105" s="924"/>
      <c r="AI105" s="924"/>
      <c r="AJ105" s="924"/>
      <c r="AK105" s="924"/>
      <c r="AL105" s="924"/>
      <c r="AM105" s="924"/>
      <c r="AN105" s="924"/>
      <c r="AO105" s="924"/>
      <c r="AP105" s="924"/>
      <c r="AQ105" s="924"/>
      <c r="AR105" s="924"/>
      <c r="AS105" s="924"/>
      <c r="AT105" s="924"/>
      <c r="AU105" s="954"/>
      <c r="AV105" s="954"/>
      <c r="AW105" s="954"/>
      <c r="AX105" s="957"/>
      <c r="AY105" s="924"/>
      <c r="AZ105" s="924"/>
      <c r="BA105" s="924"/>
      <c r="BB105" s="924"/>
      <c r="BC105" s="924"/>
      <c r="BD105" s="924"/>
      <c r="BE105" s="924"/>
      <c r="BF105" s="924"/>
      <c r="BG105" s="955"/>
      <c r="BH105" s="924"/>
    </row>
    <row r="106" spans="1:60" ht="18" customHeight="1" x14ac:dyDescent="0.25">
      <c r="A106" s="1314"/>
      <c r="B106" s="954"/>
      <c r="C106" s="954"/>
      <c r="D106" s="954"/>
      <c r="E106" s="954"/>
      <c r="F106" s="954"/>
      <c r="G106" s="954"/>
      <c r="H106" s="954"/>
      <c r="I106" s="954"/>
      <c r="J106" s="954"/>
      <c r="K106" s="954"/>
      <c r="L106" s="954"/>
      <c r="M106" s="954"/>
      <c r="N106" s="954"/>
      <c r="O106" s="954"/>
      <c r="P106" s="954"/>
      <c r="Q106" s="954"/>
      <c r="R106" s="954"/>
      <c r="S106" s="954"/>
      <c r="T106" s="954"/>
      <c r="U106" s="954"/>
      <c r="V106" s="955"/>
      <c r="W106" s="954"/>
      <c r="X106" s="954"/>
      <c r="Y106" s="954"/>
      <c r="Z106" s="954"/>
      <c r="AA106" s="954"/>
      <c r="AB106" s="956"/>
      <c r="AC106" s="954"/>
      <c r="AD106" s="954"/>
      <c r="AE106" s="924"/>
      <c r="AF106" s="924"/>
      <c r="AG106" s="924"/>
      <c r="AH106" s="924"/>
      <c r="AI106" s="924"/>
      <c r="AJ106" s="924"/>
      <c r="AK106" s="924"/>
      <c r="AL106" s="924"/>
      <c r="AM106" s="924"/>
      <c r="AN106" s="924"/>
      <c r="AO106" s="924"/>
      <c r="AP106" s="924"/>
      <c r="AQ106" s="924"/>
      <c r="AR106" s="924"/>
      <c r="AS106" s="924"/>
      <c r="AT106" s="924"/>
      <c r="AU106" s="954"/>
      <c r="AV106" s="954"/>
      <c r="AW106" s="954"/>
      <c r="AX106" s="957"/>
      <c r="AY106" s="924"/>
      <c r="AZ106" s="924"/>
      <c r="BA106" s="924"/>
      <c r="BB106" s="924"/>
      <c r="BC106" s="924"/>
      <c r="BD106" s="924"/>
      <c r="BE106" s="924"/>
      <c r="BF106" s="924"/>
      <c r="BG106" s="955"/>
      <c r="BH106" s="924"/>
    </row>
    <row r="107" spans="1:60" ht="18" customHeight="1" x14ac:dyDescent="0.25">
      <c r="A107" s="1314"/>
      <c r="B107" s="954"/>
      <c r="C107" s="954"/>
      <c r="D107" s="954"/>
      <c r="E107" s="954"/>
      <c r="F107" s="954"/>
      <c r="G107" s="954"/>
      <c r="H107" s="954"/>
      <c r="I107" s="954"/>
      <c r="J107" s="954"/>
      <c r="K107" s="954"/>
      <c r="L107" s="954"/>
      <c r="M107" s="954"/>
      <c r="N107" s="954"/>
      <c r="O107" s="954"/>
      <c r="P107" s="954"/>
      <c r="Q107" s="954"/>
      <c r="R107" s="954"/>
      <c r="S107" s="954"/>
      <c r="T107" s="954"/>
      <c r="U107" s="954"/>
      <c r="V107" s="955"/>
      <c r="W107" s="954"/>
      <c r="X107" s="954"/>
      <c r="Y107" s="954"/>
      <c r="Z107" s="954"/>
      <c r="AA107" s="954"/>
      <c r="AB107" s="956"/>
      <c r="AC107" s="954"/>
      <c r="AD107" s="954"/>
      <c r="AE107" s="924"/>
      <c r="AF107" s="924"/>
      <c r="AG107" s="924"/>
      <c r="AH107" s="924"/>
      <c r="AI107" s="924"/>
      <c r="AJ107" s="924"/>
      <c r="AK107" s="924"/>
      <c r="AL107" s="924"/>
      <c r="AM107" s="924"/>
      <c r="AN107" s="924"/>
      <c r="AO107" s="924"/>
      <c r="AP107" s="924"/>
      <c r="AQ107" s="924"/>
      <c r="AR107" s="924"/>
      <c r="AS107" s="924"/>
      <c r="AT107" s="924"/>
      <c r="AU107" s="954"/>
      <c r="AV107" s="954"/>
      <c r="AW107" s="954"/>
      <c r="AX107" s="957"/>
      <c r="AY107" s="924"/>
      <c r="AZ107" s="924"/>
      <c r="BA107" s="924"/>
      <c r="BB107" s="924"/>
      <c r="BC107" s="924"/>
      <c r="BD107" s="924"/>
      <c r="BE107" s="924"/>
      <c r="BF107" s="924"/>
      <c r="BG107" s="955"/>
      <c r="BH107" s="924"/>
    </row>
    <row r="108" spans="1:60" ht="18" customHeight="1" x14ac:dyDescent="0.25">
      <c r="A108" s="1314"/>
      <c r="B108" s="954"/>
      <c r="C108" s="954"/>
      <c r="D108" s="954"/>
      <c r="E108" s="954"/>
      <c r="F108" s="954"/>
      <c r="G108" s="954"/>
      <c r="H108" s="954"/>
      <c r="I108" s="954"/>
      <c r="J108" s="954"/>
      <c r="K108" s="954"/>
      <c r="L108" s="954"/>
      <c r="M108" s="954"/>
      <c r="N108" s="954"/>
      <c r="O108" s="954"/>
      <c r="P108" s="954"/>
      <c r="Q108" s="954"/>
      <c r="R108" s="954"/>
      <c r="S108" s="954"/>
      <c r="T108" s="954"/>
      <c r="U108" s="954"/>
      <c r="V108" s="955"/>
      <c r="W108" s="954"/>
      <c r="X108" s="954"/>
      <c r="Y108" s="954"/>
      <c r="Z108" s="954"/>
      <c r="AA108" s="954"/>
      <c r="AB108" s="956"/>
      <c r="AC108" s="954"/>
      <c r="AD108" s="954"/>
      <c r="AE108" s="924"/>
      <c r="AF108" s="924"/>
      <c r="AG108" s="924"/>
      <c r="AH108" s="924"/>
      <c r="AI108" s="924"/>
      <c r="AJ108" s="924"/>
      <c r="AK108" s="924"/>
      <c r="AL108" s="924"/>
      <c r="AM108" s="924"/>
      <c r="AN108" s="924"/>
      <c r="AO108" s="924"/>
      <c r="AP108" s="924"/>
      <c r="AQ108" s="924"/>
      <c r="AR108" s="924"/>
      <c r="AS108" s="924"/>
      <c r="AT108" s="924"/>
      <c r="AU108" s="954"/>
      <c r="AV108" s="954"/>
      <c r="AW108" s="954"/>
      <c r="AX108" s="957"/>
      <c r="AY108" s="924"/>
      <c r="AZ108" s="924"/>
      <c r="BA108" s="924"/>
      <c r="BB108" s="924"/>
      <c r="BC108" s="924"/>
      <c r="BD108" s="924"/>
      <c r="BE108" s="924"/>
      <c r="BF108" s="924"/>
      <c r="BG108" s="955"/>
      <c r="BH108" s="924"/>
    </row>
    <row r="109" spans="1:60" ht="18" customHeight="1" x14ac:dyDescent="0.25">
      <c r="A109" s="1314"/>
      <c r="B109" s="954"/>
      <c r="C109" s="954"/>
      <c r="D109" s="954"/>
      <c r="E109" s="954"/>
      <c r="F109" s="954"/>
      <c r="G109" s="954"/>
      <c r="H109" s="954"/>
      <c r="I109" s="954"/>
      <c r="J109" s="954"/>
      <c r="K109" s="954"/>
      <c r="L109" s="954"/>
      <c r="M109" s="954"/>
      <c r="N109" s="954"/>
      <c r="O109" s="954"/>
      <c r="P109" s="954"/>
      <c r="Q109" s="954"/>
      <c r="R109" s="954"/>
      <c r="S109" s="954"/>
      <c r="T109" s="954"/>
      <c r="U109" s="954"/>
      <c r="V109" s="955"/>
      <c r="W109" s="954"/>
      <c r="X109" s="954"/>
      <c r="Y109" s="954"/>
      <c r="Z109" s="954"/>
      <c r="AA109" s="954"/>
      <c r="AB109" s="956"/>
      <c r="AC109" s="954"/>
      <c r="AD109" s="954"/>
      <c r="AE109" s="924"/>
      <c r="AF109" s="924"/>
      <c r="AG109" s="924"/>
      <c r="AH109" s="924"/>
      <c r="AI109" s="924"/>
      <c r="AJ109" s="924"/>
      <c r="AK109" s="924"/>
      <c r="AL109" s="924"/>
      <c r="AM109" s="924"/>
      <c r="AN109" s="924"/>
      <c r="AO109" s="924"/>
      <c r="AP109" s="924"/>
      <c r="AQ109" s="924"/>
      <c r="AR109" s="924"/>
      <c r="AS109" s="924"/>
      <c r="AT109" s="924"/>
      <c r="AU109" s="954"/>
      <c r="AV109" s="954"/>
      <c r="AW109" s="954"/>
      <c r="AX109" s="957"/>
      <c r="AY109" s="924"/>
      <c r="AZ109" s="924"/>
      <c r="BA109" s="924"/>
      <c r="BB109" s="924"/>
      <c r="BC109" s="924"/>
      <c r="BD109" s="924"/>
      <c r="BE109" s="924"/>
      <c r="BF109" s="924"/>
      <c r="BG109" s="955"/>
      <c r="BH109" s="924"/>
    </row>
    <row r="110" spans="1:60" ht="18" customHeight="1" x14ac:dyDescent="0.25">
      <c r="A110" s="1314"/>
      <c r="B110" s="954"/>
      <c r="C110" s="954"/>
      <c r="D110" s="954"/>
      <c r="E110" s="954"/>
      <c r="F110" s="954"/>
      <c r="G110" s="954"/>
      <c r="H110" s="954"/>
      <c r="I110" s="954"/>
      <c r="J110" s="954"/>
      <c r="K110" s="954"/>
      <c r="L110" s="954"/>
      <c r="M110" s="954"/>
      <c r="N110" s="954"/>
      <c r="O110" s="954"/>
      <c r="P110" s="954"/>
      <c r="Q110" s="954"/>
      <c r="R110" s="954"/>
      <c r="S110" s="954"/>
      <c r="T110" s="954"/>
      <c r="U110" s="954"/>
      <c r="V110" s="955"/>
      <c r="W110" s="954"/>
      <c r="X110" s="954"/>
      <c r="Y110" s="954"/>
      <c r="Z110" s="954"/>
      <c r="AA110" s="954"/>
      <c r="AB110" s="956"/>
      <c r="AC110" s="954"/>
      <c r="AD110" s="954"/>
      <c r="AE110" s="924"/>
      <c r="AF110" s="924"/>
      <c r="AG110" s="924"/>
      <c r="AH110" s="924"/>
      <c r="AI110" s="924"/>
      <c r="AJ110" s="924"/>
      <c r="AK110" s="924"/>
      <c r="AL110" s="924"/>
      <c r="AM110" s="924"/>
      <c r="AN110" s="924"/>
      <c r="AO110" s="924"/>
      <c r="AP110" s="924"/>
      <c r="AQ110" s="924"/>
      <c r="AR110" s="924"/>
      <c r="AS110" s="924"/>
      <c r="AT110" s="924"/>
      <c r="AU110" s="954"/>
      <c r="AV110" s="954"/>
      <c r="AW110" s="954"/>
      <c r="AX110" s="957"/>
      <c r="AY110" s="924"/>
      <c r="AZ110" s="924"/>
      <c r="BA110" s="924"/>
      <c r="BB110" s="924"/>
      <c r="BC110" s="924"/>
      <c r="BD110" s="924"/>
      <c r="BE110" s="924"/>
      <c r="BF110" s="924"/>
      <c r="BG110" s="955"/>
      <c r="BH110" s="924"/>
    </row>
    <row r="111" spans="1:60" ht="18" customHeight="1" x14ac:dyDescent="0.25">
      <c r="A111" s="1314"/>
      <c r="B111" s="954"/>
      <c r="C111" s="954"/>
      <c r="D111" s="954"/>
      <c r="E111" s="954"/>
      <c r="F111" s="954"/>
      <c r="G111" s="954"/>
      <c r="H111" s="954"/>
      <c r="I111" s="954"/>
      <c r="J111" s="954"/>
      <c r="K111" s="954"/>
      <c r="L111" s="954"/>
      <c r="M111" s="954"/>
      <c r="N111" s="954"/>
      <c r="O111" s="954"/>
      <c r="P111" s="954"/>
      <c r="Q111" s="954"/>
      <c r="R111" s="954"/>
      <c r="S111" s="954"/>
      <c r="T111" s="954"/>
      <c r="U111" s="954"/>
      <c r="V111" s="955"/>
      <c r="W111" s="954"/>
      <c r="X111" s="954"/>
      <c r="Y111" s="954"/>
      <c r="Z111" s="954"/>
      <c r="AA111" s="954"/>
      <c r="AB111" s="956"/>
      <c r="AC111" s="954"/>
      <c r="AD111" s="954"/>
      <c r="AE111" s="924"/>
      <c r="AF111" s="924"/>
      <c r="AG111" s="924"/>
      <c r="AH111" s="924"/>
      <c r="AI111" s="924"/>
      <c r="AJ111" s="924"/>
      <c r="AK111" s="924"/>
      <c r="AL111" s="924"/>
      <c r="AM111" s="924"/>
      <c r="AN111" s="924"/>
      <c r="AO111" s="924"/>
      <c r="AP111" s="924"/>
      <c r="AQ111" s="924"/>
      <c r="AR111" s="924"/>
      <c r="AS111" s="924"/>
      <c r="AT111" s="924"/>
      <c r="AU111" s="954"/>
      <c r="AV111" s="954"/>
      <c r="AW111" s="954"/>
      <c r="AX111" s="957"/>
      <c r="AY111" s="924"/>
      <c r="AZ111" s="924"/>
      <c r="BA111" s="924"/>
      <c r="BB111" s="924"/>
      <c r="BC111" s="924"/>
      <c r="BD111" s="924"/>
      <c r="BE111" s="924"/>
      <c r="BF111" s="924"/>
      <c r="BG111" s="955"/>
      <c r="BH111" s="924"/>
    </row>
    <row r="112" spans="1:60" ht="18" customHeight="1" x14ac:dyDescent="0.25">
      <c r="A112" s="1314"/>
      <c r="B112" s="954"/>
      <c r="C112" s="954"/>
      <c r="D112" s="954"/>
      <c r="E112" s="954"/>
      <c r="F112" s="954"/>
      <c r="G112" s="954"/>
      <c r="H112" s="954"/>
      <c r="I112" s="954"/>
      <c r="J112" s="954"/>
      <c r="K112" s="954"/>
      <c r="L112" s="954"/>
      <c r="M112" s="954"/>
      <c r="N112" s="954"/>
      <c r="O112" s="954"/>
      <c r="P112" s="954"/>
      <c r="Q112" s="954"/>
      <c r="R112" s="954"/>
      <c r="S112" s="954"/>
      <c r="T112" s="954"/>
      <c r="U112" s="954"/>
      <c r="V112" s="955"/>
      <c r="W112" s="954"/>
      <c r="X112" s="954"/>
      <c r="Y112" s="954"/>
      <c r="Z112" s="954"/>
      <c r="AA112" s="954"/>
      <c r="AB112" s="956"/>
      <c r="AC112" s="954"/>
      <c r="AD112" s="954"/>
      <c r="AE112" s="924"/>
      <c r="AF112" s="924"/>
      <c r="AG112" s="924"/>
      <c r="AH112" s="924"/>
      <c r="AI112" s="924"/>
      <c r="AJ112" s="924"/>
      <c r="AK112" s="924"/>
      <c r="AL112" s="924"/>
      <c r="AM112" s="924"/>
      <c r="AN112" s="924"/>
      <c r="AO112" s="924"/>
      <c r="AP112" s="924"/>
      <c r="AQ112" s="924"/>
      <c r="AR112" s="924"/>
      <c r="AS112" s="924"/>
      <c r="AT112" s="924"/>
      <c r="AU112" s="954"/>
      <c r="AV112" s="954"/>
      <c r="AW112" s="954"/>
      <c r="AX112" s="957"/>
      <c r="AY112" s="924"/>
      <c r="AZ112" s="924"/>
      <c r="BA112" s="924"/>
      <c r="BB112" s="924"/>
      <c r="BC112" s="924"/>
      <c r="BD112" s="924"/>
      <c r="BE112" s="924"/>
      <c r="BF112" s="924"/>
      <c r="BG112" s="955"/>
      <c r="BH112" s="924"/>
    </row>
    <row r="113" spans="1:60" ht="18" customHeight="1" x14ac:dyDescent="0.25">
      <c r="A113" s="1314"/>
      <c r="B113" s="954"/>
      <c r="C113" s="954"/>
      <c r="D113" s="954"/>
      <c r="E113" s="954"/>
      <c r="F113" s="954"/>
      <c r="G113" s="954"/>
      <c r="H113" s="954"/>
      <c r="I113" s="954"/>
      <c r="J113" s="954"/>
      <c r="K113" s="954"/>
      <c r="L113" s="954"/>
      <c r="M113" s="954"/>
      <c r="N113" s="954"/>
      <c r="O113" s="954"/>
      <c r="P113" s="954"/>
      <c r="Q113" s="954"/>
      <c r="R113" s="954"/>
      <c r="S113" s="954"/>
      <c r="T113" s="954"/>
      <c r="U113" s="954"/>
      <c r="V113" s="955"/>
      <c r="W113" s="954"/>
      <c r="X113" s="954"/>
      <c r="Y113" s="954"/>
      <c r="Z113" s="954"/>
      <c r="AA113" s="954"/>
      <c r="AB113" s="956"/>
      <c r="AC113" s="954"/>
      <c r="AD113" s="954"/>
      <c r="AE113" s="924"/>
      <c r="AF113" s="924"/>
      <c r="AG113" s="924"/>
      <c r="AH113" s="924"/>
      <c r="AI113" s="924"/>
      <c r="AJ113" s="924"/>
      <c r="AK113" s="924"/>
      <c r="AL113" s="924"/>
      <c r="AM113" s="924"/>
      <c r="AN113" s="924"/>
      <c r="AO113" s="924"/>
      <c r="AP113" s="924"/>
      <c r="AQ113" s="924"/>
      <c r="AR113" s="924"/>
      <c r="AS113" s="924"/>
      <c r="AT113" s="924"/>
      <c r="AU113" s="954"/>
      <c r="AV113" s="954"/>
      <c r="AW113" s="954"/>
      <c r="AX113" s="957"/>
      <c r="AY113" s="924"/>
      <c r="AZ113" s="924"/>
      <c r="BA113" s="924"/>
      <c r="BB113" s="924"/>
      <c r="BC113" s="924"/>
      <c r="BD113" s="924"/>
      <c r="BE113" s="924"/>
      <c r="BF113" s="924"/>
      <c r="BG113" s="955"/>
      <c r="BH113" s="924"/>
    </row>
    <row r="114" spans="1:60" ht="18" customHeight="1" x14ac:dyDescent="0.25">
      <c r="A114" s="1314"/>
      <c r="B114" s="954"/>
      <c r="C114" s="954"/>
      <c r="D114" s="954"/>
      <c r="E114" s="954"/>
      <c r="F114" s="954"/>
      <c r="G114" s="954"/>
      <c r="H114" s="954"/>
      <c r="I114" s="954"/>
      <c r="J114" s="954"/>
      <c r="K114" s="954"/>
      <c r="L114" s="954"/>
      <c r="M114" s="954"/>
      <c r="N114" s="954"/>
      <c r="O114" s="954"/>
      <c r="P114" s="954"/>
      <c r="Q114" s="954"/>
      <c r="R114" s="954"/>
      <c r="S114" s="954"/>
      <c r="T114" s="954"/>
      <c r="U114" s="954"/>
      <c r="V114" s="955"/>
      <c r="W114" s="954"/>
      <c r="X114" s="954"/>
      <c r="Y114" s="954"/>
      <c r="Z114" s="954"/>
      <c r="AA114" s="954"/>
      <c r="AB114" s="956"/>
      <c r="AC114" s="954"/>
      <c r="AD114" s="954"/>
      <c r="AE114" s="924"/>
      <c r="AF114" s="924"/>
      <c r="AG114" s="924"/>
      <c r="AH114" s="924"/>
      <c r="AI114" s="924"/>
      <c r="AJ114" s="924"/>
      <c r="AK114" s="924"/>
      <c r="AL114" s="924"/>
      <c r="AM114" s="924"/>
      <c r="AN114" s="924"/>
      <c r="AO114" s="924"/>
      <c r="AP114" s="924"/>
      <c r="AQ114" s="924"/>
      <c r="AR114" s="924"/>
      <c r="AS114" s="924"/>
      <c r="AT114" s="924"/>
      <c r="AU114" s="954"/>
      <c r="AV114" s="954"/>
      <c r="AW114" s="954"/>
      <c r="AX114" s="957"/>
      <c r="AY114" s="924"/>
      <c r="AZ114" s="924"/>
      <c r="BA114" s="924"/>
      <c r="BB114" s="924"/>
      <c r="BC114" s="924"/>
      <c r="BD114" s="924"/>
      <c r="BE114" s="924"/>
      <c r="BF114" s="924"/>
      <c r="BG114" s="955"/>
      <c r="BH114" s="924"/>
    </row>
    <row r="115" spans="1:60" ht="18" customHeight="1" x14ac:dyDescent="0.25">
      <c r="A115" s="1314"/>
      <c r="B115" s="954"/>
      <c r="C115" s="954"/>
      <c r="D115" s="954"/>
      <c r="E115" s="954"/>
      <c r="F115" s="954"/>
      <c r="G115" s="954"/>
      <c r="H115" s="954"/>
      <c r="I115" s="954"/>
      <c r="J115" s="954"/>
      <c r="K115" s="954"/>
      <c r="L115" s="954"/>
      <c r="M115" s="954"/>
      <c r="N115" s="954"/>
      <c r="O115" s="954"/>
      <c r="P115" s="954"/>
      <c r="Q115" s="954"/>
      <c r="R115" s="954"/>
      <c r="S115" s="954"/>
      <c r="T115" s="954"/>
      <c r="U115" s="954"/>
      <c r="V115" s="955"/>
      <c r="W115" s="954"/>
      <c r="X115" s="954"/>
      <c r="Y115" s="954"/>
      <c r="Z115" s="954"/>
      <c r="AA115" s="954"/>
      <c r="AB115" s="956"/>
      <c r="AC115" s="954"/>
      <c r="AD115" s="954"/>
      <c r="AE115" s="924"/>
      <c r="AF115" s="924"/>
      <c r="AG115" s="924"/>
      <c r="AH115" s="924"/>
      <c r="AI115" s="924"/>
      <c r="AJ115" s="924"/>
      <c r="AK115" s="924"/>
      <c r="AL115" s="924"/>
      <c r="AM115" s="924"/>
      <c r="AN115" s="924"/>
      <c r="AO115" s="924"/>
      <c r="AP115" s="924"/>
      <c r="AQ115" s="924"/>
      <c r="AR115" s="924"/>
      <c r="AS115" s="924"/>
      <c r="AT115" s="924"/>
      <c r="AU115" s="954"/>
      <c r="AV115" s="954"/>
      <c r="AW115" s="954"/>
      <c r="AX115" s="957"/>
      <c r="AY115" s="924"/>
      <c r="AZ115" s="924"/>
      <c r="BA115" s="924"/>
      <c r="BB115" s="924"/>
      <c r="BC115" s="924"/>
      <c r="BD115" s="924"/>
      <c r="BE115" s="924"/>
      <c r="BF115" s="924"/>
      <c r="BG115" s="955"/>
      <c r="BH115" s="924"/>
    </row>
    <row r="116" spans="1:60" ht="18" customHeight="1" x14ac:dyDescent="0.25">
      <c r="A116" s="1314"/>
      <c r="B116" s="954"/>
      <c r="C116" s="954"/>
      <c r="D116" s="954"/>
      <c r="E116" s="954"/>
      <c r="F116" s="954"/>
      <c r="G116" s="954"/>
      <c r="H116" s="954"/>
      <c r="I116" s="954"/>
      <c r="J116" s="954"/>
      <c r="K116" s="954"/>
      <c r="L116" s="954"/>
      <c r="M116" s="954"/>
      <c r="N116" s="954"/>
      <c r="O116" s="954"/>
      <c r="P116" s="954"/>
      <c r="Q116" s="954"/>
      <c r="R116" s="954"/>
      <c r="S116" s="954"/>
      <c r="T116" s="954"/>
      <c r="U116" s="954"/>
      <c r="V116" s="955"/>
      <c r="W116" s="954"/>
      <c r="X116" s="954"/>
      <c r="Y116" s="954"/>
      <c r="Z116" s="954"/>
      <c r="AA116" s="954"/>
      <c r="AB116" s="956"/>
      <c r="AC116" s="954"/>
      <c r="AD116" s="954"/>
      <c r="AE116" s="924"/>
      <c r="AF116" s="924"/>
      <c r="AG116" s="924"/>
      <c r="AH116" s="924"/>
      <c r="AI116" s="924"/>
      <c r="AJ116" s="924"/>
      <c r="AK116" s="924"/>
      <c r="AL116" s="924"/>
      <c r="AM116" s="924"/>
      <c r="AN116" s="924"/>
      <c r="AO116" s="924"/>
      <c r="AP116" s="924"/>
      <c r="AQ116" s="924"/>
      <c r="AR116" s="924"/>
      <c r="AS116" s="924"/>
      <c r="AT116" s="924"/>
      <c r="AU116" s="954"/>
      <c r="AV116" s="954"/>
      <c r="AW116" s="954"/>
      <c r="AX116" s="957"/>
      <c r="AY116" s="924"/>
      <c r="AZ116" s="924"/>
      <c r="BA116" s="924"/>
      <c r="BB116" s="924"/>
      <c r="BC116" s="924"/>
      <c r="BD116" s="924"/>
      <c r="BE116" s="924"/>
      <c r="BF116" s="924"/>
      <c r="BG116" s="955"/>
      <c r="BH116" s="924"/>
    </row>
    <row r="117" spans="1:60" ht="18" customHeight="1" x14ac:dyDescent="0.25">
      <c r="A117" s="1314"/>
      <c r="B117" s="954"/>
      <c r="C117" s="954"/>
      <c r="D117" s="954"/>
      <c r="E117" s="954"/>
      <c r="F117" s="954"/>
      <c r="G117" s="954"/>
      <c r="H117" s="954"/>
      <c r="I117" s="954"/>
      <c r="J117" s="954"/>
      <c r="K117" s="954"/>
      <c r="L117" s="954"/>
      <c r="M117" s="954"/>
      <c r="N117" s="954"/>
      <c r="O117" s="954"/>
      <c r="P117" s="954"/>
      <c r="Q117" s="954"/>
      <c r="R117" s="954"/>
      <c r="S117" s="954"/>
      <c r="T117" s="954"/>
      <c r="U117" s="954"/>
      <c r="V117" s="955"/>
      <c r="W117" s="954"/>
      <c r="X117" s="954"/>
      <c r="Y117" s="954"/>
      <c r="Z117" s="954"/>
      <c r="AA117" s="954"/>
      <c r="AB117" s="956"/>
      <c r="AC117" s="954"/>
      <c r="AD117" s="954"/>
      <c r="AE117" s="924"/>
      <c r="AF117" s="924"/>
      <c r="AG117" s="924"/>
      <c r="AH117" s="924"/>
      <c r="AI117" s="924"/>
      <c r="AJ117" s="924"/>
      <c r="AK117" s="924"/>
      <c r="AL117" s="924"/>
      <c r="AM117" s="924"/>
      <c r="AN117" s="924"/>
      <c r="AO117" s="924"/>
      <c r="AP117" s="924"/>
      <c r="AQ117" s="924"/>
      <c r="AR117" s="924"/>
      <c r="AS117" s="924"/>
      <c r="AT117" s="924"/>
      <c r="AU117" s="954"/>
      <c r="AV117" s="954"/>
      <c r="AW117" s="954"/>
      <c r="AX117" s="957"/>
      <c r="AY117" s="924"/>
      <c r="AZ117" s="924"/>
      <c r="BA117" s="924"/>
      <c r="BB117" s="924"/>
      <c r="BC117" s="924"/>
      <c r="BD117" s="924"/>
      <c r="BE117" s="924"/>
      <c r="BF117" s="924"/>
      <c r="BG117" s="955"/>
      <c r="BH117" s="924"/>
    </row>
    <row r="118" spans="1:60" ht="18" customHeight="1" x14ac:dyDescent="0.25">
      <c r="A118" s="1314"/>
      <c r="B118" s="954"/>
      <c r="C118" s="954"/>
      <c r="D118" s="954"/>
      <c r="E118" s="954"/>
      <c r="F118" s="954"/>
      <c r="G118" s="954"/>
      <c r="H118" s="954"/>
      <c r="I118" s="954"/>
      <c r="J118" s="954"/>
      <c r="K118" s="954"/>
      <c r="L118" s="954"/>
      <c r="M118" s="954"/>
      <c r="N118" s="954"/>
      <c r="O118" s="954"/>
      <c r="P118" s="954"/>
      <c r="Q118" s="954"/>
      <c r="R118" s="954"/>
      <c r="S118" s="954"/>
      <c r="T118" s="954"/>
      <c r="U118" s="954"/>
      <c r="V118" s="955"/>
      <c r="W118" s="954"/>
      <c r="X118" s="954"/>
      <c r="Y118" s="954"/>
      <c r="Z118" s="954"/>
      <c r="AA118" s="954"/>
      <c r="AB118" s="956"/>
      <c r="AC118" s="954"/>
      <c r="AD118" s="954"/>
      <c r="AE118" s="924"/>
      <c r="AF118" s="924"/>
      <c r="AG118" s="924"/>
      <c r="AH118" s="924"/>
      <c r="AI118" s="924"/>
      <c r="AJ118" s="924"/>
      <c r="AK118" s="924"/>
      <c r="AL118" s="924"/>
      <c r="AM118" s="924"/>
      <c r="AN118" s="924"/>
      <c r="AO118" s="924"/>
      <c r="AP118" s="924"/>
      <c r="AQ118" s="924"/>
      <c r="AR118" s="924"/>
      <c r="AS118" s="924"/>
      <c r="AT118" s="924"/>
      <c r="AU118" s="954"/>
      <c r="AV118" s="954"/>
      <c r="AW118" s="954"/>
      <c r="AX118" s="957"/>
      <c r="AY118" s="924"/>
      <c r="AZ118" s="924"/>
      <c r="BA118" s="924"/>
      <c r="BB118" s="924"/>
      <c r="BC118" s="924"/>
      <c r="BD118" s="924"/>
      <c r="BE118" s="924"/>
      <c r="BF118" s="924"/>
      <c r="BG118" s="955"/>
      <c r="BH118" s="924"/>
    </row>
    <row r="119" spans="1:60" ht="18" customHeight="1" x14ac:dyDescent="0.25">
      <c r="A119" s="1314"/>
      <c r="B119" s="954"/>
      <c r="C119" s="954"/>
      <c r="D119" s="954"/>
      <c r="E119" s="954"/>
      <c r="F119" s="954"/>
      <c r="G119" s="954"/>
      <c r="H119" s="954"/>
      <c r="I119" s="954"/>
      <c r="J119" s="954"/>
      <c r="K119" s="954"/>
      <c r="L119" s="954"/>
      <c r="M119" s="954"/>
      <c r="N119" s="954"/>
      <c r="O119" s="954"/>
      <c r="P119" s="954"/>
      <c r="Q119" s="954"/>
      <c r="R119" s="954"/>
      <c r="S119" s="954"/>
      <c r="T119" s="954"/>
      <c r="U119" s="954"/>
      <c r="V119" s="955"/>
      <c r="W119" s="954"/>
      <c r="X119" s="954"/>
      <c r="Y119" s="954"/>
      <c r="Z119" s="954"/>
      <c r="AA119" s="954"/>
      <c r="AB119" s="956"/>
      <c r="AC119" s="954"/>
      <c r="AD119" s="954"/>
      <c r="AE119" s="924"/>
      <c r="AF119" s="924"/>
      <c r="AG119" s="924"/>
      <c r="AH119" s="924"/>
      <c r="AI119" s="924"/>
      <c r="AJ119" s="924"/>
      <c r="AK119" s="924"/>
      <c r="AL119" s="924"/>
      <c r="AM119" s="924"/>
      <c r="AN119" s="924"/>
      <c r="AO119" s="924"/>
      <c r="AP119" s="924"/>
      <c r="AQ119" s="924"/>
      <c r="AR119" s="924"/>
      <c r="AS119" s="924"/>
      <c r="AT119" s="924"/>
      <c r="AU119" s="954"/>
      <c r="AV119" s="954"/>
      <c r="AW119" s="954"/>
      <c r="AX119" s="957"/>
      <c r="AY119" s="924"/>
      <c r="AZ119" s="924"/>
      <c r="BA119" s="924"/>
      <c r="BB119" s="924"/>
      <c r="BC119" s="924"/>
      <c r="BD119" s="924"/>
      <c r="BE119" s="924"/>
      <c r="BF119" s="924"/>
      <c r="BG119" s="955"/>
      <c r="BH119" s="924"/>
    </row>
    <row r="120" spans="1:60" ht="18" customHeight="1" x14ac:dyDescent="0.25">
      <c r="A120" s="1314"/>
      <c r="B120" s="954"/>
      <c r="C120" s="954"/>
      <c r="D120" s="954"/>
      <c r="E120" s="954"/>
      <c r="F120" s="954"/>
      <c r="G120" s="954"/>
      <c r="H120" s="954"/>
      <c r="I120" s="954"/>
      <c r="J120" s="954"/>
      <c r="K120" s="954"/>
      <c r="L120" s="954"/>
      <c r="M120" s="954"/>
      <c r="N120" s="954"/>
      <c r="O120" s="954"/>
      <c r="P120" s="954"/>
      <c r="Q120" s="954"/>
      <c r="R120" s="954"/>
      <c r="S120" s="954"/>
      <c r="T120" s="954"/>
      <c r="U120" s="954"/>
      <c r="V120" s="955"/>
      <c r="W120" s="954"/>
      <c r="X120" s="954"/>
      <c r="Y120" s="954"/>
      <c r="Z120" s="954"/>
      <c r="AA120" s="954"/>
      <c r="AB120" s="956"/>
      <c r="AC120" s="954"/>
      <c r="AD120" s="954"/>
      <c r="AE120" s="924"/>
      <c r="AF120" s="924"/>
      <c r="AG120" s="924"/>
      <c r="AH120" s="924"/>
      <c r="AI120" s="924"/>
      <c r="AJ120" s="924"/>
      <c r="AK120" s="924"/>
      <c r="AL120" s="924"/>
      <c r="AM120" s="924"/>
      <c r="AN120" s="924"/>
      <c r="AO120" s="924"/>
      <c r="AP120" s="924"/>
      <c r="AQ120" s="924"/>
      <c r="AR120" s="924"/>
      <c r="AS120" s="924"/>
      <c r="AT120" s="924"/>
      <c r="AU120" s="954"/>
      <c r="AV120" s="954"/>
      <c r="AW120" s="954"/>
      <c r="AX120" s="957"/>
      <c r="AY120" s="924"/>
      <c r="AZ120" s="924"/>
      <c r="BA120" s="924"/>
      <c r="BB120" s="924"/>
      <c r="BC120" s="924"/>
      <c r="BD120" s="924"/>
      <c r="BE120" s="924"/>
      <c r="BF120" s="924"/>
      <c r="BG120" s="955"/>
      <c r="BH120" s="924"/>
    </row>
    <row r="121" spans="1:60" ht="18" customHeight="1" x14ac:dyDescent="0.25">
      <c r="A121" s="1314"/>
      <c r="B121" s="954"/>
      <c r="C121" s="954"/>
      <c r="D121" s="954"/>
      <c r="E121" s="954"/>
      <c r="F121" s="954"/>
      <c r="G121" s="954"/>
      <c r="H121" s="954"/>
      <c r="I121" s="954"/>
      <c r="J121" s="954"/>
      <c r="K121" s="954"/>
      <c r="L121" s="954"/>
      <c r="M121" s="954"/>
      <c r="N121" s="954"/>
      <c r="O121" s="954"/>
      <c r="P121" s="954"/>
      <c r="Q121" s="954"/>
      <c r="R121" s="954"/>
      <c r="S121" s="954"/>
      <c r="T121" s="954"/>
      <c r="U121" s="954"/>
      <c r="V121" s="955"/>
      <c r="W121" s="954"/>
      <c r="X121" s="954"/>
      <c r="Y121" s="954"/>
      <c r="Z121" s="954"/>
      <c r="AA121" s="954"/>
      <c r="AB121" s="956"/>
      <c r="AC121" s="954"/>
      <c r="AD121" s="954"/>
      <c r="AE121" s="924"/>
      <c r="AF121" s="924"/>
      <c r="AG121" s="924"/>
      <c r="AH121" s="924"/>
      <c r="AI121" s="924"/>
      <c r="AJ121" s="924"/>
      <c r="AK121" s="924"/>
      <c r="AL121" s="924"/>
      <c r="AM121" s="924"/>
      <c r="AN121" s="924"/>
      <c r="AO121" s="924"/>
      <c r="AP121" s="924"/>
      <c r="AQ121" s="924"/>
      <c r="AR121" s="924"/>
      <c r="AS121" s="924"/>
      <c r="AT121" s="924"/>
      <c r="AU121" s="954"/>
      <c r="AV121" s="954"/>
      <c r="AW121" s="954"/>
      <c r="AX121" s="957"/>
      <c r="AY121" s="924"/>
      <c r="AZ121" s="924"/>
      <c r="BA121" s="924"/>
      <c r="BB121" s="924"/>
      <c r="BC121" s="924"/>
      <c r="BD121" s="924"/>
      <c r="BE121" s="924"/>
      <c r="BF121" s="924"/>
      <c r="BG121" s="955"/>
      <c r="BH121" s="924"/>
    </row>
    <row r="122" spans="1:60" ht="18" customHeight="1" x14ac:dyDescent="0.25">
      <c r="A122" s="1314"/>
      <c r="B122" s="954"/>
      <c r="C122" s="954"/>
      <c r="D122" s="954"/>
      <c r="E122" s="954"/>
      <c r="F122" s="954"/>
      <c r="G122" s="954"/>
      <c r="H122" s="954"/>
      <c r="I122" s="954"/>
      <c r="J122" s="954"/>
      <c r="K122" s="954"/>
      <c r="L122" s="954"/>
      <c r="M122" s="954"/>
      <c r="N122" s="954"/>
      <c r="O122" s="954"/>
      <c r="P122" s="954"/>
      <c r="Q122" s="954"/>
      <c r="R122" s="954"/>
      <c r="S122" s="954"/>
      <c r="T122" s="954"/>
      <c r="U122" s="954"/>
      <c r="V122" s="955"/>
      <c r="W122" s="954"/>
      <c r="X122" s="954"/>
      <c r="Y122" s="954"/>
      <c r="Z122" s="954"/>
      <c r="AA122" s="954"/>
      <c r="AB122" s="956"/>
      <c r="AC122" s="954"/>
      <c r="AD122" s="954"/>
      <c r="AE122" s="924"/>
      <c r="AF122" s="924"/>
      <c r="AG122" s="924"/>
      <c r="AH122" s="924"/>
      <c r="AI122" s="924"/>
      <c r="AJ122" s="924"/>
      <c r="AK122" s="924"/>
      <c r="AL122" s="924"/>
      <c r="AM122" s="924"/>
      <c r="AN122" s="924"/>
      <c r="AO122" s="924"/>
      <c r="AP122" s="924"/>
      <c r="AQ122" s="924"/>
      <c r="AR122" s="924"/>
      <c r="AS122" s="924"/>
      <c r="AT122" s="924"/>
      <c r="AU122" s="954"/>
      <c r="AV122" s="954"/>
      <c r="AW122" s="954"/>
      <c r="AX122" s="957"/>
      <c r="AY122" s="924"/>
      <c r="AZ122" s="924"/>
      <c r="BA122" s="924"/>
      <c r="BB122" s="924"/>
      <c r="BC122" s="924"/>
      <c r="BD122" s="924"/>
      <c r="BE122" s="924"/>
      <c r="BF122" s="924"/>
      <c r="BG122" s="955"/>
      <c r="BH122" s="924"/>
    </row>
    <row r="123" spans="1:60" ht="18" customHeight="1" x14ac:dyDescent="0.25">
      <c r="A123" s="1314"/>
      <c r="B123" s="954"/>
      <c r="C123" s="954"/>
      <c r="D123" s="954"/>
      <c r="E123" s="954"/>
      <c r="F123" s="954"/>
      <c r="G123" s="954"/>
      <c r="H123" s="954"/>
      <c r="I123" s="954"/>
      <c r="J123" s="954"/>
      <c r="K123" s="954"/>
      <c r="L123" s="954"/>
      <c r="M123" s="954"/>
      <c r="N123" s="954"/>
      <c r="O123" s="954"/>
      <c r="P123" s="954"/>
      <c r="Q123" s="954"/>
      <c r="R123" s="954"/>
      <c r="S123" s="954"/>
      <c r="T123" s="954"/>
      <c r="U123" s="954"/>
      <c r="V123" s="955"/>
      <c r="W123" s="954"/>
      <c r="X123" s="954"/>
      <c r="Y123" s="954"/>
      <c r="Z123" s="954"/>
      <c r="AA123" s="954"/>
      <c r="AB123" s="956"/>
      <c r="AC123" s="954"/>
      <c r="AD123" s="954"/>
      <c r="AE123" s="924"/>
      <c r="AF123" s="924"/>
      <c r="AG123" s="924"/>
      <c r="AH123" s="924"/>
      <c r="AI123" s="924"/>
      <c r="AJ123" s="924"/>
      <c r="AK123" s="924"/>
      <c r="AL123" s="924"/>
      <c r="AM123" s="924"/>
      <c r="AN123" s="924"/>
      <c r="AO123" s="924"/>
      <c r="AP123" s="924"/>
      <c r="AQ123" s="924"/>
      <c r="AR123" s="924"/>
      <c r="AS123" s="924"/>
      <c r="AT123" s="924"/>
      <c r="AU123" s="954"/>
      <c r="AV123" s="954"/>
      <c r="AW123" s="954"/>
      <c r="AX123" s="957"/>
      <c r="AY123" s="924"/>
      <c r="AZ123" s="924"/>
      <c r="BA123" s="924"/>
      <c r="BB123" s="924"/>
      <c r="BC123" s="924"/>
      <c r="BD123" s="924"/>
      <c r="BE123" s="924"/>
      <c r="BF123" s="924"/>
      <c r="BG123" s="955"/>
      <c r="BH123" s="924"/>
    </row>
    <row r="124" spans="1:60" ht="18" customHeight="1" x14ac:dyDescent="0.25">
      <c r="A124" s="1314"/>
      <c r="B124" s="954"/>
      <c r="C124" s="954"/>
      <c r="D124" s="954"/>
      <c r="E124" s="954"/>
      <c r="F124" s="954"/>
      <c r="G124" s="954"/>
      <c r="H124" s="954"/>
      <c r="I124" s="954"/>
      <c r="J124" s="954"/>
      <c r="K124" s="954"/>
      <c r="L124" s="954"/>
      <c r="M124" s="954"/>
      <c r="N124" s="954"/>
      <c r="O124" s="954"/>
      <c r="P124" s="954"/>
      <c r="Q124" s="954"/>
      <c r="R124" s="954"/>
      <c r="S124" s="954"/>
      <c r="T124" s="954"/>
      <c r="U124" s="954"/>
      <c r="V124" s="955"/>
      <c r="W124" s="954"/>
      <c r="X124" s="954"/>
      <c r="Y124" s="954"/>
      <c r="Z124" s="954"/>
      <c r="AA124" s="954"/>
      <c r="AB124" s="956"/>
      <c r="AC124" s="954"/>
      <c r="AD124" s="954"/>
      <c r="AE124" s="924"/>
      <c r="AF124" s="924"/>
      <c r="AG124" s="924"/>
      <c r="AH124" s="924"/>
      <c r="AI124" s="924"/>
      <c r="AJ124" s="924"/>
      <c r="AK124" s="924"/>
      <c r="AL124" s="924"/>
      <c r="AM124" s="924"/>
      <c r="AN124" s="924"/>
      <c r="AO124" s="924"/>
      <c r="AP124" s="924"/>
      <c r="AQ124" s="924"/>
      <c r="AR124" s="924"/>
      <c r="AS124" s="924"/>
      <c r="AT124" s="924"/>
      <c r="AU124" s="954"/>
      <c r="AV124" s="954"/>
      <c r="AW124" s="954"/>
      <c r="AX124" s="957"/>
      <c r="AY124" s="924"/>
      <c r="AZ124" s="924"/>
      <c r="BA124" s="924"/>
      <c r="BB124" s="924"/>
      <c r="BC124" s="924"/>
      <c r="BD124" s="924"/>
      <c r="BE124" s="924"/>
      <c r="BF124" s="924"/>
      <c r="BG124" s="955"/>
      <c r="BH124" s="924"/>
    </row>
    <row r="125" spans="1:60" ht="18" customHeight="1" x14ac:dyDescent="0.25">
      <c r="A125" s="1314"/>
      <c r="B125" s="954"/>
      <c r="C125" s="954"/>
      <c r="D125" s="954"/>
      <c r="E125" s="954"/>
      <c r="F125" s="954"/>
      <c r="G125" s="954"/>
      <c r="H125" s="954"/>
      <c r="I125" s="954"/>
      <c r="J125" s="954"/>
      <c r="K125" s="954"/>
      <c r="L125" s="954"/>
      <c r="M125" s="954"/>
      <c r="N125" s="954"/>
      <c r="O125" s="954"/>
      <c r="P125" s="954"/>
      <c r="Q125" s="954"/>
      <c r="R125" s="954"/>
      <c r="S125" s="954"/>
      <c r="T125" s="954"/>
      <c r="U125" s="954"/>
      <c r="V125" s="955"/>
      <c r="W125" s="954"/>
      <c r="X125" s="954"/>
      <c r="Y125" s="954"/>
      <c r="Z125" s="954"/>
      <c r="AA125" s="954"/>
      <c r="AB125" s="956"/>
      <c r="AC125" s="954"/>
      <c r="AD125" s="954"/>
      <c r="AE125" s="924"/>
      <c r="AF125" s="924"/>
      <c r="AG125" s="924"/>
      <c r="AH125" s="924"/>
      <c r="AI125" s="924"/>
      <c r="AJ125" s="924"/>
      <c r="AK125" s="924"/>
      <c r="AL125" s="924"/>
      <c r="AM125" s="924"/>
      <c r="AN125" s="924"/>
      <c r="AO125" s="924"/>
      <c r="AP125" s="924"/>
      <c r="AQ125" s="924"/>
      <c r="AR125" s="924"/>
      <c r="AS125" s="924"/>
      <c r="AT125" s="924"/>
      <c r="AU125" s="954"/>
      <c r="AV125" s="954"/>
      <c r="AW125" s="954"/>
      <c r="AX125" s="957"/>
      <c r="AY125" s="924"/>
      <c r="AZ125" s="924"/>
      <c r="BA125" s="924"/>
      <c r="BB125" s="924"/>
      <c r="BC125" s="924"/>
      <c r="BD125" s="924"/>
      <c r="BE125" s="924"/>
      <c r="BF125" s="924"/>
      <c r="BG125" s="955"/>
      <c r="BH125" s="924"/>
    </row>
    <row r="126" spans="1:60" ht="18" customHeight="1" x14ac:dyDescent="0.25">
      <c r="A126" s="1314"/>
      <c r="B126" s="954"/>
      <c r="C126" s="954"/>
      <c r="D126" s="954"/>
      <c r="E126" s="954"/>
      <c r="F126" s="954"/>
      <c r="G126" s="954"/>
      <c r="H126" s="954"/>
      <c r="I126" s="954"/>
      <c r="J126" s="954"/>
      <c r="K126" s="954"/>
      <c r="L126" s="954"/>
      <c r="M126" s="954"/>
      <c r="N126" s="954"/>
      <c r="O126" s="954"/>
      <c r="P126" s="954"/>
      <c r="Q126" s="954"/>
      <c r="R126" s="954"/>
      <c r="S126" s="954"/>
      <c r="T126" s="954"/>
      <c r="U126" s="954"/>
      <c r="V126" s="955"/>
      <c r="W126" s="954"/>
      <c r="X126" s="954"/>
      <c r="Y126" s="954"/>
      <c r="Z126" s="954"/>
      <c r="AA126" s="954"/>
      <c r="AB126" s="956"/>
      <c r="AC126" s="954"/>
      <c r="AD126" s="954"/>
      <c r="AE126" s="924"/>
      <c r="AF126" s="924"/>
      <c r="AG126" s="924"/>
      <c r="AH126" s="924"/>
      <c r="AI126" s="924"/>
      <c r="AJ126" s="924"/>
      <c r="AK126" s="924"/>
      <c r="AL126" s="924"/>
      <c r="AM126" s="924"/>
      <c r="AN126" s="924"/>
      <c r="AO126" s="924"/>
      <c r="AP126" s="924"/>
      <c r="AQ126" s="924"/>
      <c r="AR126" s="924"/>
      <c r="AS126" s="924"/>
      <c r="AT126" s="924"/>
      <c r="AU126" s="954"/>
      <c r="AV126" s="954"/>
      <c r="AW126" s="954"/>
      <c r="AX126" s="957"/>
      <c r="AY126" s="924"/>
      <c r="AZ126" s="924"/>
      <c r="BA126" s="924"/>
      <c r="BB126" s="924"/>
      <c r="BC126" s="924"/>
      <c r="BD126" s="924"/>
      <c r="BE126" s="924"/>
      <c r="BF126" s="924"/>
      <c r="BG126" s="955"/>
      <c r="BH126" s="924"/>
    </row>
    <row r="127" spans="1:60" ht="18" customHeight="1" x14ac:dyDescent="0.25">
      <c r="A127" s="1314"/>
      <c r="B127" s="954"/>
      <c r="C127" s="954"/>
      <c r="D127" s="954"/>
      <c r="E127" s="954"/>
      <c r="F127" s="954"/>
      <c r="G127" s="954"/>
      <c r="H127" s="954"/>
      <c r="I127" s="954"/>
      <c r="J127" s="954"/>
      <c r="K127" s="954"/>
      <c r="L127" s="954"/>
      <c r="M127" s="954"/>
      <c r="N127" s="954"/>
      <c r="O127" s="954"/>
      <c r="P127" s="954"/>
      <c r="Q127" s="954"/>
      <c r="R127" s="954"/>
      <c r="S127" s="954"/>
      <c r="T127" s="954"/>
      <c r="U127" s="954"/>
      <c r="V127" s="955"/>
      <c r="W127" s="954"/>
      <c r="X127" s="954"/>
      <c r="Y127" s="954"/>
      <c r="Z127" s="954"/>
      <c r="AA127" s="954"/>
      <c r="AB127" s="956"/>
      <c r="AC127" s="954"/>
      <c r="AD127" s="954"/>
      <c r="AE127" s="924"/>
      <c r="AF127" s="924"/>
      <c r="AG127" s="924"/>
      <c r="AH127" s="924"/>
      <c r="AI127" s="924"/>
      <c r="AJ127" s="924"/>
      <c r="AK127" s="924"/>
      <c r="AL127" s="924"/>
      <c r="AM127" s="924"/>
      <c r="AN127" s="924"/>
      <c r="AO127" s="924"/>
      <c r="AP127" s="924"/>
      <c r="AQ127" s="924"/>
      <c r="AR127" s="924"/>
      <c r="AS127" s="924"/>
      <c r="AT127" s="924"/>
      <c r="AU127" s="954"/>
      <c r="AV127" s="954"/>
      <c r="AW127" s="954"/>
      <c r="AX127" s="957"/>
      <c r="AY127" s="924"/>
      <c r="AZ127" s="924"/>
      <c r="BA127" s="924"/>
      <c r="BB127" s="924"/>
      <c r="BC127" s="924"/>
      <c r="BD127" s="924"/>
      <c r="BE127" s="924"/>
      <c r="BF127" s="924"/>
      <c r="BG127" s="955"/>
      <c r="BH127" s="924"/>
    </row>
    <row r="128" spans="1:60" ht="18" customHeight="1" x14ac:dyDescent="0.25">
      <c r="A128" s="1314"/>
      <c r="B128" s="954"/>
      <c r="C128" s="954"/>
      <c r="D128" s="954"/>
      <c r="E128" s="954"/>
      <c r="F128" s="954"/>
      <c r="G128" s="954"/>
      <c r="H128" s="954"/>
      <c r="I128" s="954"/>
      <c r="J128" s="954"/>
      <c r="K128" s="954"/>
      <c r="L128" s="954"/>
      <c r="M128" s="954"/>
      <c r="N128" s="954"/>
      <c r="O128" s="954"/>
      <c r="P128" s="954"/>
      <c r="Q128" s="954"/>
      <c r="R128" s="954"/>
      <c r="S128" s="954"/>
      <c r="T128" s="954"/>
      <c r="U128" s="954"/>
      <c r="V128" s="955"/>
      <c r="W128" s="954"/>
      <c r="X128" s="954"/>
      <c r="Y128" s="954"/>
      <c r="Z128" s="954"/>
      <c r="AA128" s="954"/>
      <c r="AB128" s="956"/>
      <c r="AC128" s="954"/>
      <c r="AD128" s="954"/>
      <c r="AE128" s="924"/>
      <c r="AF128" s="924"/>
      <c r="AG128" s="924"/>
      <c r="AH128" s="924"/>
      <c r="AI128" s="924"/>
      <c r="AJ128" s="924"/>
      <c r="AK128" s="924"/>
      <c r="AL128" s="924"/>
      <c r="AM128" s="924"/>
      <c r="AN128" s="924"/>
      <c r="AO128" s="924"/>
      <c r="AP128" s="924"/>
      <c r="AQ128" s="924"/>
      <c r="AR128" s="924"/>
      <c r="AS128" s="924"/>
      <c r="AT128" s="924"/>
      <c r="AU128" s="954"/>
      <c r="AV128" s="954"/>
      <c r="AW128" s="954"/>
      <c r="AX128" s="957"/>
      <c r="AY128" s="924"/>
      <c r="AZ128" s="924"/>
      <c r="BA128" s="924"/>
      <c r="BB128" s="924"/>
      <c r="BC128" s="924"/>
      <c r="BD128" s="924"/>
      <c r="BE128" s="924"/>
      <c r="BF128" s="924"/>
      <c r="BG128" s="955"/>
      <c r="BH128" s="924"/>
    </row>
    <row r="129" spans="1:60" ht="18" customHeight="1" x14ac:dyDescent="0.25">
      <c r="A129" s="1314"/>
      <c r="B129" s="954"/>
      <c r="C129" s="954"/>
      <c r="D129" s="954"/>
      <c r="E129" s="954"/>
      <c r="F129" s="954"/>
      <c r="G129" s="954"/>
      <c r="H129" s="954"/>
      <c r="I129" s="954"/>
      <c r="J129" s="954"/>
      <c r="K129" s="954"/>
      <c r="L129" s="954"/>
      <c r="M129" s="954"/>
      <c r="N129" s="954"/>
      <c r="O129" s="954"/>
      <c r="P129" s="954"/>
      <c r="Q129" s="954"/>
      <c r="R129" s="954"/>
      <c r="S129" s="954"/>
      <c r="T129" s="954"/>
      <c r="U129" s="954"/>
      <c r="V129" s="955"/>
      <c r="W129" s="954"/>
      <c r="X129" s="954"/>
      <c r="Y129" s="954"/>
      <c r="Z129" s="954"/>
      <c r="AA129" s="954"/>
      <c r="AB129" s="956"/>
      <c r="AC129" s="954"/>
      <c r="AD129" s="954"/>
      <c r="AE129" s="924"/>
      <c r="AF129" s="924"/>
      <c r="AG129" s="924"/>
      <c r="AH129" s="924"/>
      <c r="AI129" s="924"/>
      <c r="AJ129" s="924"/>
      <c r="AK129" s="924"/>
      <c r="AL129" s="924"/>
      <c r="AM129" s="924"/>
      <c r="AN129" s="924"/>
      <c r="AO129" s="924"/>
      <c r="AP129" s="924"/>
      <c r="AQ129" s="924"/>
      <c r="AR129" s="924"/>
      <c r="AS129" s="924"/>
      <c r="AT129" s="924"/>
      <c r="AU129" s="954"/>
      <c r="AV129" s="954"/>
      <c r="AW129" s="954"/>
      <c r="AX129" s="957"/>
      <c r="AY129" s="924"/>
      <c r="AZ129" s="924"/>
      <c r="BA129" s="924"/>
      <c r="BB129" s="924"/>
      <c r="BC129" s="924"/>
      <c r="BD129" s="924"/>
      <c r="BE129" s="924"/>
      <c r="BF129" s="924"/>
      <c r="BG129" s="955"/>
      <c r="BH129" s="924"/>
    </row>
    <row r="130" spans="1:60" ht="18" customHeight="1" x14ac:dyDescent="0.25">
      <c r="A130" s="1314"/>
      <c r="B130" s="954"/>
      <c r="C130" s="954"/>
      <c r="D130" s="954"/>
      <c r="E130" s="954"/>
      <c r="F130" s="954"/>
      <c r="G130" s="954"/>
      <c r="H130" s="954"/>
      <c r="I130" s="954"/>
      <c r="J130" s="954"/>
      <c r="K130" s="954"/>
      <c r="L130" s="954"/>
      <c r="M130" s="954"/>
      <c r="N130" s="954"/>
      <c r="O130" s="954"/>
      <c r="P130" s="954"/>
      <c r="Q130" s="954"/>
      <c r="R130" s="954"/>
      <c r="S130" s="954"/>
      <c r="T130" s="954"/>
      <c r="U130" s="954"/>
      <c r="V130" s="955"/>
      <c r="W130" s="954"/>
      <c r="X130" s="954"/>
      <c r="Y130" s="954"/>
      <c r="Z130" s="954"/>
      <c r="AA130" s="954"/>
      <c r="AB130" s="956"/>
      <c r="AC130" s="954"/>
      <c r="AD130" s="954"/>
      <c r="AE130" s="924"/>
      <c r="AF130" s="924"/>
      <c r="AG130" s="924"/>
      <c r="AH130" s="924"/>
      <c r="AI130" s="924"/>
      <c r="AJ130" s="924"/>
      <c r="AK130" s="924"/>
      <c r="AL130" s="924"/>
      <c r="AM130" s="924"/>
      <c r="AN130" s="924"/>
      <c r="AO130" s="924"/>
      <c r="AP130" s="924"/>
      <c r="AQ130" s="924"/>
      <c r="AR130" s="924"/>
      <c r="AS130" s="924"/>
      <c r="AT130" s="924"/>
      <c r="AU130" s="954"/>
      <c r="AV130" s="954"/>
      <c r="AW130" s="954"/>
      <c r="AX130" s="957"/>
      <c r="AY130" s="924"/>
      <c r="AZ130" s="924"/>
      <c r="BA130" s="924"/>
      <c r="BB130" s="924"/>
      <c r="BC130" s="924"/>
      <c r="BD130" s="924"/>
      <c r="BE130" s="924"/>
      <c r="BF130" s="924"/>
      <c r="BG130" s="955"/>
      <c r="BH130" s="924"/>
    </row>
    <row r="131" spans="1:60" ht="18" customHeight="1" x14ac:dyDescent="0.25">
      <c r="A131" s="1314"/>
      <c r="B131" s="954"/>
      <c r="C131" s="954"/>
      <c r="D131" s="954"/>
      <c r="E131" s="954"/>
      <c r="F131" s="954"/>
      <c r="G131" s="954"/>
      <c r="H131" s="954"/>
      <c r="I131" s="954"/>
      <c r="J131" s="954"/>
      <c r="K131" s="954"/>
      <c r="L131" s="954"/>
      <c r="M131" s="954"/>
      <c r="N131" s="954"/>
      <c r="O131" s="954"/>
      <c r="P131" s="954"/>
      <c r="Q131" s="954"/>
      <c r="R131" s="954"/>
      <c r="S131" s="954"/>
      <c r="T131" s="954"/>
      <c r="U131" s="954"/>
      <c r="V131" s="955"/>
      <c r="W131" s="954"/>
      <c r="X131" s="954"/>
      <c r="Y131" s="954"/>
      <c r="Z131" s="954"/>
      <c r="AA131" s="954"/>
      <c r="AB131" s="956"/>
      <c r="AC131" s="954"/>
      <c r="AD131" s="954"/>
      <c r="AE131" s="924"/>
      <c r="AF131" s="924"/>
      <c r="AG131" s="924"/>
      <c r="AH131" s="924"/>
      <c r="AI131" s="924"/>
      <c r="AJ131" s="924"/>
      <c r="AK131" s="924"/>
      <c r="AL131" s="924"/>
      <c r="AM131" s="924"/>
      <c r="AN131" s="924"/>
      <c r="AO131" s="924"/>
      <c r="AP131" s="924"/>
      <c r="AQ131" s="924"/>
      <c r="AR131" s="924"/>
      <c r="AS131" s="924"/>
      <c r="AT131" s="924"/>
      <c r="AU131" s="954"/>
      <c r="AV131" s="954"/>
      <c r="AW131" s="954"/>
      <c r="AX131" s="957"/>
      <c r="AY131" s="924"/>
      <c r="AZ131" s="924"/>
      <c r="BA131" s="924"/>
      <c r="BB131" s="924"/>
      <c r="BC131" s="924"/>
      <c r="BD131" s="924"/>
      <c r="BE131" s="924"/>
      <c r="BF131" s="924"/>
      <c r="BG131" s="955"/>
      <c r="BH131" s="924"/>
    </row>
    <row r="132" spans="1:60" ht="18" customHeight="1" x14ac:dyDescent="0.25">
      <c r="A132" s="1314"/>
      <c r="B132" s="954"/>
      <c r="C132" s="954"/>
      <c r="D132" s="954"/>
      <c r="E132" s="954"/>
      <c r="F132" s="954"/>
      <c r="G132" s="954"/>
      <c r="H132" s="954"/>
      <c r="I132" s="954"/>
      <c r="J132" s="954"/>
      <c r="K132" s="954"/>
      <c r="L132" s="954"/>
      <c r="M132" s="954"/>
      <c r="N132" s="954"/>
      <c r="O132" s="954"/>
      <c r="P132" s="954"/>
      <c r="Q132" s="954"/>
      <c r="R132" s="954"/>
      <c r="S132" s="954"/>
      <c r="T132" s="954"/>
      <c r="U132" s="954"/>
      <c r="V132" s="955"/>
      <c r="W132" s="954"/>
      <c r="X132" s="954"/>
      <c r="Y132" s="954"/>
      <c r="Z132" s="954"/>
      <c r="AA132" s="954"/>
      <c r="AB132" s="956"/>
      <c r="AC132" s="954"/>
      <c r="AD132" s="954"/>
      <c r="AE132" s="924"/>
      <c r="AF132" s="924"/>
      <c r="AG132" s="924"/>
      <c r="AH132" s="924"/>
      <c r="AI132" s="924"/>
      <c r="AJ132" s="924"/>
      <c r="AK132" s="924"/>
      <c r="AL132" s="924"/>
      <c r="AM132" s="924"/>
      <c r="AN132" s="924"/>
      <c r="AO132" s="924"/>
      <c r="AP132" s="924"/>
      <c r="AQ132" s="924"/>
      <c r="AR132" s="924"/>
      <c r="AS132" s="924"/>
      <c r="AT132" s="924"/>
      <c r="AU132" s="954"/>
      <c r="AV132" s="954"/>
      <c r="AW132" s="954"/>
      <c r="AX132" s="957"/>
      <c r="AY132" s="924"/>
      <c r="AZ132" s="924"/>
      <c r="BA132" s="924"/>
      <c r="BB132" s="924"/>
      <c r="BC132" s="924"/>
      <c r="BD132" s="924"/>
      <c r="BE132" s="924"/>
      <c r="BF132" s="924"/>
      <c r="BG132" s="955"/>
      <c r="BH132" s="924"/>
    </row>
    <row r="133" spans="1:60" ht="18" customHeight="1" x14ac:dyDescent="0.25">
      <c r="A133" s="1314"/>
      <c r="B133" s="954"/>
      <c r="C133" s="954"/>
      <c r="D133" s="954"/>
      <c r="E133" s="954"/>
      <c r="F133" s="954"/>
      <c r="G133" s="954"/>
      <c r="H133" s="954"/>
      <c r="I133" s="954"/>
      <c r="J133" s="954"/>
      <c r="K133" s="954"/>
      <c r="L133" s="954"/>
      <c r="M133" s="954"/>
      <c r="N133" s="954"/>
      <c r="O133" s="954"/>
      <c r="P133" s="954"/>
      <c r="Q133" s="954"/>
      <c r="R133" s="954"/>
      <c r="S133" s="954"/>
      <c r="T133" s="954"/>
      <c r="U133" s="954"/>
      <c r="V133" s="955"/>
      <c r="W133" s="954"/>
      <c r="X133" s="954"/>
      <c r="Y133" s="954"/>
      <c r="Z133" s="954"/>
      <c r="AA133" s="954"/>
      <c r="AB133" s="956"/>
      <c r="AC133" s="954"/>
      <c r="AD133" s="954"/>
      <c r="AE133" s="924"/>
      <c r="AF133" s="924"/>
      <c r="AG133" s="924"/>
      <c r="AH133" s="924"/>
      <c r="AI133" s="924"/>
      <c r="AJ133" s="924"/>
      <c r="AK133" s="924"/>
      <c r="AL133" s="924"/>
      <c r="AM133" s="924"/>
      <c r="AN133" s="924"/>
      <c r="AO133" s="924"/>
      <c r="AP133" s="924"/>
      <c r="AQ133" s="924"/>
      <c r="AR133" s="924"/>
      <c r="AS133" s="924"/>
      <c r="AT133" s="924"/>
      <c r="AU133" s="954"/>
      <c r="AV133" s="954"/>
      <c r="AW133" s="954"/>
      <c r="AX133" s="957"/>
      <c r="AY133" s="924"/>
      <c r="AZ133" s="924"/>
      <c r="BA133" s="924"/>
      <c r="BB133" s="924"/>
      <c r="BC133" s="924"/>
      <c r="BD133" s="924"/>
      <c r="BE133" s="924"/>
      <c r="BF133" s="924"/>
      <c r="BG133" s="955"/>
      <c r="BH133" s="924"/>
    </row>
    <row r="134" spans="1:60" ht="18" customHeight="1" x14ac:dyDescent="0.25">
      <c r="A134" s="1314"/>
      <c r="B134" s="954"/>
      <c r="C134" s="954"/>
      <c r="D134" s="954"/>
      <c r="E134" s="954"/>
      <c r="F134" s="954"/>
      <c r="G134" s="954"/>
      <c r="H134" s="954"/>
      <c r="I134" s="954"/>
      <c r="J134" s="954"/>
      <c r="K134" s="954"/>
      <c r="L134" s="954"/>
      <c r="M134" s="954"/>
      <c r="N134" s="954"/>
      <c r="O134" s="954"/>
      <c r="P134" s="954"/>
      <c r="Q134" s="954"/>
      <c r="R134" s="954"/>
      <c r="S134" s="954"/>
      <c r="T134" s="954"/>
      <c r="U134" s="954"/>
      <c r="V134" s="955"/>
      <c r="W134" s="954"/>
      <c r="X134" s="954"/>
      <c r="Y134" s="954"/>
      <c r="Z134" s="954"/>
      <c r="AA134" s="954"/>
      <c r="AB134" s="956"/>
      <c r="AC134" s="954"/>
      <c r="AD134" s="954"/>
      <c r="AE134" s="924"/>
      <c r="AF134" s="924"/>
      <c r="AG134" s="924"/>
      <c r="AH134" s="924"/>
      <c r="AI134" s="924"/>
      <c r="AJ134" s="924"/>
      <c r="AK134" s="924"/>
      <c r="AL134" s="924"/>
      <c r="AM134" s="924"/>
      <c r="AN134" s="924"/>
      <c r="AO134" s="924"/>
      <c r="AP134" s="924"/>
      <c r="AQ134" s="924"/>
      <c r="AR134" s="924"/>
      <c r="AS134" s="924"/>
      <c r="AT134" s="924"/>
      <c r="AU134" s="954"/>
      <c r="AV134" s="954"/>
      <c r="AW134" s="954"/>
      <c r="AX134" s="957"/>
      <c r="AY134" s="924"/>
      <c r="AZ134" s="924"/>
      <c r="BA134" s="924"/>
      <c r="BB134" s="924"/>
      <c r="BC134" s="924"/>
      <c r="BD134" s="924"/>
      <c r="BE134" s="924"/>
      <c r="BF134" s="924"/>
      <c r="BG134" s="955"/>
      <c r="BH134" s="924"/>
    </row>
    <row r="135" spans="1:60" ht="18" customHeight="1" x14ac:dyDescent="0.25">
      <c r="A135" s="1314"/>
      <c r="B135" s="954"/>
      <c r="C135" s="954"/>
      <c r="D135" s="954"/>
      <c r="E135" s="954"/>
      <c r="F135" s="954"/>
      <c r="G135" s="954"/>
      <c r="H135" s="954"/>
      <c r="I135" s="954"/>
      <c r="J135" s="954"/>
      <c r="K135" s="954"/>
      <c r="L135" s="954"/>
      <c r="M135" s="954"/>
      <c r="N135" s="954"/>
      <c r="O135" s="954"/>
      <c r="P135" s="954"/>
      <c r="Q135" s="954"/>
      <c r="R135" s="954"/>
      <c r="S135" s="954"/>
      <c r="T135" s="954"/>
      <c r="U135" s="954"/>
      <c r="V135" s="955"/>
      <c r="W135" s="954"/>
      <c r="X135" s="954"/>
      <c r="Y135" s="954"/>
      <c r="Z135" s="954"/>
      <c r="AA135" s="954"/>
      <c r="AB135" s="956"/>
      <c r="AC135" s="954"/>
      <c r="AD135" s="954"/>
      <c r="AE135" s="924"/>
      <c r="AF135" s="924"/>
      <c r="AG135" s="924"/>
      <c r="AH135" s="924"/>
      <c r="AI135" s="924"/>
      <c r="AJ135" s="924"/>
      <c r="AK135" s="924"/>
      <c r="AL135" s="924"/>
      <c r="AM135" s="924"/>
      <c r="AN135" s="924"/>
      <c r="AO135" s="924"/>
      <c r="AP135" s="924"/>
      <c r="AQ135" s="924"/>
      <c r="AR135" s="924"/>
      <c r="AS135" s="924"/>
      <c r="AT135" s="924"/>
      <c r="AU135" s="954"/>
      <c r="AV135" s="954"/>
      <c r="AW135" s="954"/>
      <c r="AX135" s="957"/>
      <c r="AY135" s="924"/>
      <c r="AZ135" s="924"/>
      <c r="BA135" s="924"/>
      <c r="BB135" s="924"/>
      <c r="BC135" s="924"/>
      <c r="BD135" s="924"/>
      <c r="BE135" s="924"/>
      <c r="BF135" s="924"/>
      <c r="BG135" s="955"/>
      <c r="BH135" s="924"/>
    </row>
    <row r="136" spans="1:60" ht="18" customHeight="1" x14ac:dyDescent="0.25">
      <c r="A136" s="1314"/>
      <c r="B136" s="954"/>
      <c r="C136" s="954"/>
      <c r="D136" s="954"/>
      <c r="E136" s="954"/>
      <c r="F136" s="954"/>
      <c r="G136" s="954"/>
      <c r="H136" s="954"/>
      <c r="I136" s="954"/>
      <c r="J136" s="954"/>
      <c r="K136" s="954"/>
      <c r="L136" s="954"/>
      <c r="M136" s="954"/>
      <c r="N136" s="954"/>
      <c r="O136" s="954"/>
      <c r="P136" s="954"/>
      <c r="Q136" s="954"/>
      <c r="R136" s="954"/>
      <c r="S136" s="954"/>
      <c r="T136" s="954"/>
      <c r="U136" s="954"/>
      <c r="V136" s="955"/>
      <c r="W136" s="954"/>
      <c r="X136" s="954"/>
      <c r="Y136" s="954"/>
      <c r="Z136" s="954"/>
      <c r="AA136" s="954"/>
      <c r="AB136" s="956"/>
      <c r="AC136" s="954"/>
      <c r="AD136" s="954"/>
      <c r="AE136" s="924"/>
      <c r="AF136" s="924"/>
      <c r="AG136" s="924"/>
      <c r="AH136" s="924"/>
      <c r="AI136" s="924"/>
      <c r="AJ136" s="924"/>
      <c r="AK136" s="924"/>
      <c r="AL136" s="924"/>
      <c r="AM136" s="924"/>
      <c r="AN136" s="924"/>
      <c r="AO136" s="924"/>
      <c r="AP136" s="924"/>
      <c r="AQ136" s="924"/>
      <c r="AR136" s="924"/>
      <c r="AS136" s="924"/>
      <c r="AT136" s="924"/>
      <c r="AU136" s="954"/>
      <c r="AV136" s="954"/>
      <c r="AW136" s="954"/>
      <c r="AX136" s="957"/>
      <c r="AY136" s="924"/>
      <c r="AZ136" s="924"/>
      <c r="BA136" s="924"/>
      <c r="BB136" s="924"/>
      <c r="BC136" s="924"/>
      <c r="BD136" s="924"/>
      <c r="BE136" s="924"/>
      <c r="BF136" s="924"/>
      <c r="BG136" s="955"/>
      <c r="BH136" s="924"/>
    </row>
    <row r="137" spans="1:60" ht="18" customHeight="1" x14ac:dyDescent="0.25">
      <c r="A137" s="1314"/>
      <c r="B137" s="954"/>
      <c r="C137" s="954"/>
      <c r="D137" s="954"/>
      <c r="E137" s="954"/>
      <c r="F137" s="954"/>
      <c r="G137" s="954"/>
      <c r="H137" s="954"/>
      <c r="I137" s="954"/>
      <c r="J137" s="954"/>
      <c r="K137" s="954"/>
      <c r="L137" s="954"/>
      <c r="M137" s="954"/>
      <c r="N137" s="954"/>
      <c r="O137" s="954"/>
      <c r="P137" s="954"/>
      <c r="Q137" s="954"/>
      <c r="R137" s="954"/>
      <c r="S137" s="954"/>
      <c r="T137" s="954"/>
      <c r="U137" s="954"/>
      <c r="V137" s="955"/>
      <c r="W137" s="954"/>
      <c r="X137" s="954"/>
      <c r="Y137" s="954"/>
      <c r="Z137" s="954"/>
      <c r="AA137" s="954"/>
      <c r="AB137" s="956"/>
      <c r="AC137" s="954"/>
      <c r="AD137" s="954"/>
      <c r="AE137" s="924"/>
      <c r="AF137" s="924"/>
      <c r="AG137" s="924"/>
      <c r="AH137" s="924"/>
      <c r="AI137" s="924"/>
      <c r="AJ137" s="924"/>
      <c r="AK137" s="924"/>
      <c r="AL137" s="924"/>
      <c r="AM137" s="924"/>
      <c r="AN137" s="924"/>
      <c r="AO137" s="924"/>
      <c r="AP137" s="924"/>
      <c r="AQ137" s="924"/>
      <c r="AR137" s="924"/>
      <c r="AS137" s="924"/>
      <c r="AT137" s="924"/>
      <c r="AU137" s="954"/>
      <c r="AV137" s="954"/>
      <c r="AW137" s="954"/>
      <c r="AX137" s="957"/>
      <c r="AY137" s="924"/>
      <c r="AZ137" s="924"/>
      <c r="BA137" s="924"/>
      <c r="BB137" s="924"/>
      <c r="BC137" s="924"/>
      <c r="BD137" s="924"/>
      <c r="BE137" s="924"/>
      <c r="BF137" s="924"/>
      <c r="BG137" s="955"/>
      <c r="BH137" s="924"/>
    </row>
    <row r="138" spans="1:60" ht="18" customHeight="1" x14ac:dyDescent="0.25">
      <c r="A138" s="1314"/>
      <c r="B138" s="954"/>
      <c r="C138" s="954"/>
      <c r="D138" s="954"/>
      <c r="E138" s="954"/>
      <c r="F138" s="954"/>
      <c r="G138" s="954"/>
      <c r="H138" s="954"/>
      <c r="I138" s="954"/>
      <c r="J138" s="954"/>
      <c r="K138" s="954"/>
      <c r="L138" s="954"/>
      <c r="M138" s="954"/>
      <c r="N138" s="954"/>
      <c r="O138" s="954"/>
      <c r="P138" s="954"/>
      <c r="Q138" s="954"/>
      <c r="R138" s="954"/>
      <c r="S138" s="954"/>
      <c r="T138" s="954"/>
      <c r="U138" s="954"/>
      <c r="V138" s="955"/>
      <c r="W138" s="954"/>
      <c r="X138" s="954"/>
      <c r="Y138" s="954"/>
      <c r="Z138" s="954"/>
      <c r="AA138" s="954"/>
      <c r="AB138" s="956"/>
      <c r="AC138" s="954"/>
      <c r="AD138" s="954"/>
      <c r="AE138" s="924"/>
      <c r="AF138" s="924"/>
      <c r="AG138" s="924"/>
      <c r="AH138" s="924"/>
      <c r="AI138" s="924"/>
      <c r="AJ138" s="924"/>
      <c r="AK138" s="924"/>
      <c r="AL138" s="924"/>
      <c r="AM138" s="924"/>
      <c r="AN138" s="924"/>
      <c r="AO138" s="924"/>
      <c r="AP138" s="924"/>
      <c r="AQ138" s="924"/>
      <c r="AR138" s="924"/>
      <c r="AS138" s="924"/>
      <c r="AT138" s="924"/>
      <c r="AU138" s="954"/>
      <c r="AV138" s="954"/>
      <c r="AW138" s="954"/>
      <c r="AX138" s="957"/>
      <c r="AY138" s="924"/>
      <c r="AZ138" s="924"/>
      <c r="BA138" s="924"/>
      <c r="BB138" s="924"/>
      <c r="BC138" s="924"/>
      <c r="BD138" s="924"/>
      <c r="BE138" s="924"/>
      <c r="BF138" s="924"/>
      <c r="BG138" s="955"/>
      <c r="BH138" s="924"/>
    </row>
    <row r="139" spans="1:60" ht="18" customHeight="1" x14ac:dyDescent="0.25">
      <c r="A139" s="1314"/>
      <c r="B139" s="954"/>
      <c r="C139" s="954"/>
      <c r="D139" s="954"/>
      <c r="E139" s="954"/>
      <c r="F139" s="954"/>
      <c r="G139" s="954"/>
      <c r="H139" s="954"/>
      <c r="I139" s="954"/>
      <c r="J139" s="954"/>
      <c r="K139" s="954"/>
      <c r="L139" s="954"/>
      <c r="M139" s="954"/>
      <c r="N139" s="954"/>
      <c r="O139" s="954"/>
      <c r="P139" s="954"/>
      <c r="Q139" s="954"/>
      <c r="R139" s="954"/>
      <c r="S139" s="954"/>
      <c r="T139" s="954"/>
      <c r="U139" s="954"/>
      <c r="V139" s="955"/>
      <c r="W139" s="954"/>
      <c r="X139" s="954"/>
      <c r="Y139" s="954"/>
      <c r="Z139" s="954"/>
      <c r="AA139" s="954"/>
      <c r="AB139" s="956"/>
      <c r="AC139" s="954"/>
      <c r="AD139" s="954"/>
      <c r="AE139" s="924"/>
      <c r="AF139" s="924"/>
      <c r="AG139" s="924"/>
      <c r="AH139" s="924"/>
      <c r="AI139" s="924"/>
      <c r="AJ139" s="924"/>
      <c r="AK139" s="924"/>
      <c r="AL139" s="924"/>
      <c r="AM139" s="924"/>
      <c r="AN139" s="924"/>
      <c r="AO139" s="924"/>
      <c r="AP139" s="924"/>
      <c r="AQ139" s="924"/>
      <c r="AR139" s="924"/>
      <c r="AS139" s="924"/>
      <c r="AT139" s="924"/>
      <c r="AU139" s="954"/>
      <c r="AV139" s="954"/>
      <c r="AW139" s="954"/>
      <c r="AX139" s="957"/>
      <c r="AY139" s="924"/>
      <c r="AZ139" s="924"/>
      <c r="BA139" s="924"/>
      <c r="BB139" s="924"/>
      <c r="BC139" s="924"/>
      <c r="BD139" s="924"/>
      <c r="BE139" s="924"/>
      <c r="BF139" s="924"/>
      <c r="BG139" s="955"/>
      <c r="BH139" s="924"/>
    </row>
    <row r="140" spans="1:60" ht="18" customHeight="1" x14ac:dyDescent="0.25">
      <c r="A140" s="1314"/>
      <c r="B140" s="954"/>
      <c r="C140" s="954"/>
      <c r="D140" s="954"/>
      <c r="E140" s="954"/>
      <c r="F140" s="954"/>
      <c r="G140" s="954"/>
      <c r="H140" s="954"/>
      <c r="I140" s="954"/>
      <c r="J140" s="954"/>
      <c r="K140" s="954"/>
      <c r="L140" s="954"/>
      <c r="M140" s="954"/>
      <c r="N140" s="954"/>
      <c r="O140" s="954"/>
      <c r="P140" s="954"/>
      <c r="Q140" s="954"/>
      <c r="R140" s="954"/>
      <c r="S140" s="954"/>
      <c r="T140" s="954"/>
      <c r="U140" s="954"/>
      <c r="V140" s="955"/>
      <c r="W140" s="954"/>
      <c r="X140" s="954"/>
      <c r="Y140" s="954"/>
      <c r="Z140" s="954"/>
      <c r="AA140" s="954"/>
      <c r="AB140" s="956"/>
      <c r="AC140" s="954"/>
      <c r="AD140" s="954"/>
      <c r="AE140" s="924"/>
      <c r="AF140" s="924"/>
      <c r="AG140" s="924"/>
      <c r="AH140" s="924"/>
      <c r="AI140" s="924"/>
      <c r="AJ140" s="924"/>
      <c r="AK140" s="924"/>
      <c r="AL140" s="924"/>
      <c r="AM140" s="924"/>
      <c r="AN140" s="924"/>
      <c r="AO140" s="924"/>
      <c r="AP140" s="924"/>
      <c r="AQ140" s="924"/>
      <c r="AR140" s="924"/>
      <c r="AS140" s="924"/>
      <c r="AT140" s="924"/>
      <c r="AU140" s="954"/>
      <c r="AV140" s="954"/>
      <c r="AW140" s="954"/>
      <c r="AX140" s="957"/>
      <c r="AY140" s="924"/>
      <c r="AZ140" s="924"/>
      <c r="BA140" s="924"/>
      <c r="BB140" s="924"/>
      <c r="BC140" s="924"/>
      <c r="BD140" s="924"/>
      <c r="BE140" s="924"/>
      <c r="BF140" s="924"/>
      <c r="BG140" s="955"/>
      <c r="BH140" s="924"/>
    </row>
    <row r="141" spans="1:60" ht="18" customHeight="1" x14ac:dyDescent="0.25">
      <c r="A141" s="1314"/>
      <c r="B141" s="954"/>
      <c r="C141" s="954"/>
      <c r="D141" s="954"/>
      <c r="E141" s="954"/>
      <c r="F141" s="954"/>
      <c r="G141" s="954"/>
      <c r="H141" s="954"/>
      <c r="I141" s="954"/>
      <c r="J141" s="954"/>
      <c r="K141" s="954"/>
      <c r="L141" s="954"/>
      <c r="M141" s="954"/>
      <c r="N141" s="954"/>
      <c r="O141" s="954"/>
      <c r="P141" s="954"/>
      <c r="Q141" s="954"/>
      <c r="R141" s="954"/>
      <c r="S141" s="954"/>
      <c r="T141" s="954"/>
      <c r="U141" s="954"/>
      <c r="V141" s="955"/>
      <c r="W141" s="954"/>
      <c r="X141" s="954"/>
      <c r="Y141" s="954"/>
      <c r="Z141" s="954"/>
      <c r="AA141" s="954"/>
      <c r="AB141" s="956"/>
      <c r="AC141" s="954"/>
      <c r="AD141" s="954"/>
      <c r="AE141" s="924"/>
      <c r="AF141" s="924"/>
      <c r="AG141" s="924"/>
      <c r="AH141" s="924"/>
      <c r="AI141" s="924"/>
      <c r="AJ141" s="924"/>
      <c r="AK141" s="924"/>
      <c r="AL141" s="924"/>
      <c r="AM141" s="924"/>
      <c r="AN141" s="924"/>
      <c r="AO141" s="924"/>
      <c r="AP141" s="924"/>
      <c r="AQ141" s="924"/>
      <c r="AR141" s="924"/>
      <c r="AS141" s="924"/>
      <c r="AT141" s="924"/>
      <c r="AU141" s="954"/>
      <c r="AV141" s="954"/>
      <c r="AW141" s="954"/>
      <c r="AX141" s="957"/>
      <c r="AY141" s="924"/>
      <c r="AZ141" s="924"/>
      <c r="BA141" s="924"/>
      <c r="BB141" s="924"/>
      <c r="BC141" s="924"/>
      <c r="BD141" s="924"/>
      <c r="BE141" s="924"/>
      <c r="BF141" s="924"/>
      <c r="BG141" s="955"/>
      <c r="BH141" s="924"/>
    </row>
    <row r="142" spans="1:60" ht="18" customHeight="1" x14ac:dyDescent="0.25">
      <c r="A142" s="1314"/>
      <c r="B142" s="954"/>
      <c r="C142" s="954"/>
      <c r="D142" s="954"/>
      <c r="E142" s="954"/>
      <c r="F142" s="954"/>
      <c r="G142" s="954"/>
      <c r="H142" s="954"/>
      <c r="I142" s="954"/>
      <c r="J142" s="954"/>
      <c r="K142" s="954"/>
      <c r="L142" s="954"/>
      <c r="M142" s="954"/>
      <c r="N142" s="954"/>
      <c r="O142" s="954"/>
      <c r="P142" s="954"/>
      <c r="Q142" s="954"/>
      <c r="R142" s="954"/>
      <c r="S142" s="954"/>
      <c r="T142" s="954"/>
      <c r="U142" s="954"/>
      <c r="V142" s="955"/>
      <c r="W142" s="954"/>
      <c r="X142" s="954"/>
      <c r="Y142" s="954"/>
      <c r="Z142" s="954"/>
      <c r="AA142" s="954"/>
      <c r="AB142" s="956"/>
      <c r="AC142" s="954"/>
      <c r="AD142" s="954"/>
      <c r="AE142" s="924"/>
      <c r="AF142" s="924"/>
      <c r="AG142" s="924"/>
      <c r="AH142" s="924"/>
      <c r="AI142" s="924"/>
      <c r="AJ142" s="924"/>
      <c r="AK142" s="924"/>
      <c r="AL142" s="924"/>
      <c r="AM142" s="924"/>
      <c r="AN142" s="924"/>
      <c r="AO142" s="924"/>
      <c r="AP142" s="924"/>
      <c r="AQ142" s="924"/>
      <c r="AR142" s="924"/>
      <c r="AS142" s="924"/>
      <c r="AT142" s="924"/>
      <c r="AU142" s="954"/>
      <c r="AV142" s="954"/>
      <c r="AW142" s="954"/>
      <c r="AX142" s="957"/>
      <c r="AY142" s="924"/>
      <c r="AZ142" s="924"/>
      <c r="BA142" s="924"/>
      <c r="BB142" s="924"/>
      <c r="BC142" s="924"/>
      <c r="BD142" s="924"/>
      <c r="BE142" s="924"/>
      <c r="BF142" s="924"/>
      <c r="BG142" s="955"/>
      <c r="BH142" s="924"/>
    </row>
    <row r="143" spans="1:60" ht="18" customHeight="1" x14ac:dyDescent="0.25">
      <c r="A143" s="1314"/>
      <c r="B143" s="954"/>
      <c r="C143" s="954"/>
      <c r="D143" s="954"/>
      <c r="E143" s="954"/>
      <c r="F143" s="954"/>
      <c r="G143" s="954"/>
      <c r="H143" s="954"/>
      <c r="I143" s="954"/>
      <c r="J143" s="954"/>
      <c r="K143" s="954"/>
      <c r="L143" s="954"/>
      <c r="M143" s="954"/>
      <c r="N143" s="954"/>
      <c r="O143" s="954"/>
      <c r="P143" s="954"/>
      <c r="Q143" s="954"/>
      <c r="R143" s="954"/>
      <c r="S143" s="954"/>
      <c r="T143" s="954"/>
      <c r="U143" s="954"/>
      <c r="V143" s="955"/>
      <c r="W143" s="954"/>
      <c r="X143" s="954"/>
      <c r="Y143" s="954"/>
      <c r="Z143" s="954"/>
      <c r="AA143" s="954"/>
      <c r="AB143" s="956"/>
      <c r="AC143" s="954"/>
      <c r="AD143" s="954"/>
      <c r="AE143" s="924"/>
      <c r="AF143" s="924"/>
      <c r="AG143" s="924"/>
      <c r="AH143" s="924"/>
      <c r="AI143" s="924"/>
      <c r="AJ143" s="924"/>
      <c r="AK143" s="924"/>
      <c r="AL143" s="924"/>
      <c r="AM143" s="924"/>
      <c r="AN143" s="924"/>
      <c r="AO143" s="924"/>
      <c r="AP143" s="924"/>
      <c r="AQ143" s="924"/>
      <c r="AR143" s="924"/>
      <c r="AS143" s="924"/>
      <c r="AT143" s="924"/>
      <c r="AU143" s="954"/>
      <c r="AV143" s="954"/>
      <c r="AW143" s="954"/>
      <c r="AX143" s="957"/>
      <c r="AY143" s="924"/>
      <c r="AZ143" s="924"/>
      <c r="BA143" s="924"/>
      <c r="BB143" s="924"/>
      <c r="BC143" s="924"/>
      <c r="BD143" s="924"/>
      <c r="BE143" s="924"/>
      <c r="BF143" s="924"/>
      <c r="BG143" s="955"/>
      <c r="BH143" s="924"/>
    </row>
    <row r="144" spans="1:60" ht="18" customHeight="1" x14ac:dyDescent="0.25">
      <c r="A144" s="1314"/>
      <c r="B144" s="954"/>
      <c r="C144" s="954"/>
      <c r="D144" s="954"/>
      <c r="E144" s="954"/>
      <c r="F144" s="954"/>
      <c r="G144" s="954"/>
      <c r="H144" s="954"/>
      <c r="I144" s="954"/>
      <c r="J144" s="954"/>
      <c r="K144" s="954"/>
      <c r="L144" s="954"/>
      <c r="M144" s="954"/>
      <c r="N144" s="954"/>
      <c r="O144" s="954"/>
      <c r="P144" s="954"/>
      <c r="Q144" s="954"/>
      <c r="R144" s="954"/>
      <c r="S144" s="954"/>
      <c r="T144" s="954"/>
      <c r="U144" s="954"/>
      <c r="V144" s="955"/>
      <c r="W144" s="954"/>
      <c r="X144" s="954"/>
      <c r="Y144" s="954"/>
      <c r="Z144" s="954"/>
      <c r="AA144" s="954"/>
      <c r="AB144" s="956"/>
      <c r="AC144" s="954"/>
      <c r="AD144" s="954"/>
      <c r="AE144" s="924"/>
      <c r="AF144" s="924"/>
      <c r="AG144" s="924"/>
      <c r="AH144" s="924"/>
      <c r="AI144" s="924"/>
      <c r="AJ144" s="924"/>
      <c r="AK144" s="924"/>
      <c r="AL144" s="924"/>
      <c r="AM144" s="924"/>
      <c r="AN144" s="924"/>
      <c r="AO144" s="924"/>
      <c r="AP144" s="924"/>
      <c r="AQ144" s="924"/>
      <c r="AR144" s="924"/>
      <c r="AS144" s="924"/>
      <c r="AT144" s="924"/>
      <c r="AU144" s="954"/>
      <c r="AV144" s="954"/>
      <c r="AW144" s="954"/>
      <c r="AX144" s="957"/>
      <c r="AY144" s="924"/>
      <c r="AZ144" s="924"/>
      <c r="BA144" s="924"/>
      <c r="BB144" s="924"/>
      <c r="BC144" s="924"/>
      <c r="BD144" s="924"/>
      <c r="BE144" s="924"/>
      <c r="BF144" s="924"/>
      <c r="BG144" s="955"/>
      <c r="BH144" s="924"/>
    </row>
    <row r="145" spans="1:60" ht="18" customHeight="1" x14ac:dyDescent="0.25">
      <c r="A145" s="1314"/>
      <c r="B145" s="954"/>
      <c r="C145" s="954"/>
      <c r="D145" s="954"/>
      <c r="E145" s="954"/>
      <c r="F145" s="954"/>
      <c r="G145" s="954"/>
      <c r="H145" s="954"/>
      <c r="I145" s="954"/>
      <c r="J145" s="954"/>
      <c r="K145" s="954"/>
      <c r="L145" s="954"/>
      <c r="M145" s="954"/>
      <c r="N145" s="954"/>
      <c r="O145" s="954"/>
      <c r="P145" s="954"/>
      <c r="Q145" s="954"/>
      <c r="R145" s="954"/>
      <c r="S145" s="954"/>
      <c r="T145" s="954"/>
      <c r="U145" s="954"/>
      <c r="V145" s="955"/>
      <c r="W145" s="954"/>
      <c r="X145" s="954"/>
      <c r="Y145" s="954"/>
      <c r="Z145" s="954"/>
      <c r="AA145" s="954"/>
      <c r="AB145" s="956"/>
      <c r="AC145" s="954"/>
      <c r="AD145" s="954"/>
      <c r="AE145" s="924"/>
      <c r="AF145" s="924"/>
      <c r="AG145" s="924"/>
      <c r="AH145" s="924"/>
      <c r="AI145" s="924"/>
      <c r="AJ145" s="924"/>
      <c r="AK145" s="924"/>
      <c r="AL145" s="924"/>
      <c r="AM145" s="924"/>
      <c r="AN145" s="924"/>
      <c r="AO145" s="924"/>
      <c r="AP145" s="924"/>
      <c r="AQ145" s="924"/>
      <c r="AR145" s="924"/>
      <c r="AS145" s="924"/>
      <c r="AT145" s="924"/>
      <c r="AU145" s="954"/>
      <c r="AV145" s="954"/>
      <c r="AW145" s="954"/>
      <c r="AX145" s="957"/>
      <c r="AY145" s="924"/>
      <c r="AZ145" s="924"/>
      <c r="BA145" s="924"/>
      <c r="BB145" s="924"/>
      <c r="BC145" s="924"/>
      <c r="BD145" s="924"/>
      <c r="BE145" s="924"/>
      <c r="BF145" s="924"/>
      <c r="BG145" s="955"/>
      <c r="BH145" s="924"/>
    </row>
    <row r="146" spans="1:60" ht="18" customHeight="1" x14ac:dyDescent="0.25">
      <c r="A146" s="1314"/>
      <c r="B146" s="954"/>
      <c r="C146" s="954"/>
      <c r="D146" s="954"/>
      <c r="E146" s="954"/>
      <c r="F146" s="954"/>
      <c r="G146" s="954"/>
      <c r="H146" s="954"/>
      <c r="I146" s="954"/>
      <c r="J146" s="954"/>
      <c r="K146" s="954"/>
      <c r="L146" s="954"/>
      <c r="M146" s="954"/>
      <c r="N146" s="954"/>
      <c r="O146" s="954"/>
      <c r="P146" s="954"/>
      <c r="Q146" s="954"/>
      <c r="R146" s="954"/>
      <c r="S146" s="954"/>
      <c r="T146" s="954"/>
      <c r="U146" s="954"/>
      <c r="V146" s="955"/>
      <c r="W146" s="954"/>
      <c r="X146" s="954"/>
      <c r="Y146" s="954"/>
      <c r="Z146" s="954"/>
      <c r="AA146" s="954"/>
      <c r="AB146" s="956"/>
      <c r="AC146" s="954"/>
      <c r="AD146" s="954"/>
      <c r="AE146" s="924"/>
      <c r="AF146" s="924"/>
      <c r="AG146" s="924"/>
      <c r="AH146" s="924"/>
      <c r="AI146" s="924"/>
      <c r="AJ146" s="924"/>
      <c r="AK146" s="924"/>
      <c r="AL146" s="924"/>
      <c r="AM146" s="924"/>
      <c r="AN146" s="924"/>
      <c r="AO146" s="924"/>
      <c r="AP146" s="924"/>
      <c r="AQ146" s="924"/>
      <c r="AR146" s="924"/>
      <c r="AS146" s="924"/>
      <c r="AT146" s="924"/>
      <c r="AU146" s="954"/>
      <c r="AV146" s="954"/>
      <c r="AW146" s="954"/>
      <c r="AX146" s="957"/>
      <c r="AY146" s="924"/>
      <c r="AZ146" s="924"/>
      <c r="BA146" s="924"/>
      <c r="BB146" s="924"/>
      <c r="BC146" s="924"/>
      <c r="BD146" s="924"/>
      <c r="BE146" s="924"/>
      <c r="BF146" s="924"/>
      <c r="BG146" s="955"/>
      <c r="BH146" s="924"/>
    </row>
    <row r="147" spans="1:60" ht="18" customHeight="1" x14ac:dyDescent="0.25">
      <c r="A147" s="1314"/>
      <c r="B147" s="954"/>
      <c r="C147" s="954"/>
      <c r="D147" s="954"/>
      <c r="E147" s="954"/>
      <c r="F147" s="954"/>
      <c r="G147" s="954"/>
      <c r="H147" s="954"/>
      <c r="I147" s="954"/>
      <c r="J147" s="954"/>
      <c r="K147" s="954"/>
      <c r="L147" s="954"/>
      <c r="M147" s="954"/>
      <c r="N147" s="954"/>
      <c r="O147" s="954"/>
      <c r="P147" s="954"/>
      <c r="Q147" s="954"/>
      <c r="R147" s="954"/>
      <c r="S147" s="954"/>
      <c r="T147" s="954"/>
      <c r="U147" s="954"/>
      <c r="V147" s="955"/>
      <c r="W147" s="954"/>
      <c r="X147" s="954"/>
      <c r="Y147" s="954"/>
      <c r="Z147" s="954"/>
      <c r="AA147" s="954"/>
      <c r="AB147" s="956"/>
      <c r="AC147" s="954"/>
      <c r="AD147" s="954"/>
      <c r="AE147" s="924"/>
      <c r="AF147" s="924"/>
      <c r="AG147" s="924"/>
      <c r="AH147" s="924"/>
      <c r="AI147" s="924"/>
      <c r="AJ147" s="924"/>
      <c r="AK147" s="924"/>
      <c r="AL147" s="924"/>
      <c r="AM147" s="924"/>
      <c r="AN147" s="924"/>
      <c r="AO147" s="924"/>
      <c r="AP147" s="924"/>
      <c r="AQ147" s="924"/>
      <c r="AR147" s="924"/>
      <c r="AS147" s="924"/>
      <c r="AT147" s="924"/>
      <c r="AU147" s="954"/>
      <c r="AV147" s="954"/>
      <c r="AW147" s="954"/>
      <c r="AX147" s="957"/>
      <c r="AY147" s="924"/>
      <c r="AZ147" s="924"/>
      <c r="BA147" s="924"/>
      <c r="BB147" s="924"/>
      <c r="BC147" s="924"/>
      <c r="BD147" s="924"/>
      <c r="BE147" s="924"/>
      <c r="BF147" s="924"/>
      <c r="BG147" s="955"/>
      <c r="BH147" s="924"/>
    </row>
    <row r="148" spans="1:60" ht="18" customHeight="1" x14ac:dyDescent="0.25">
      <c r="A148" s="1314"/>
      <c r="B148" s="954"/>
      <c r="C148" s="954"/>
      <c r="D148" s="954"/>
      <c r="E148" s="954"/>
      <c r="F148" s="954"/>
      <c r="G148" s="954"/>
      <c r="H148" s="954"/>
      <c r="I148" s="954"/>
      <c r="J148" s="954"/>
      <c r="K148" s="954"/>
      <c r="L148" s="954"/>
      <c r="M148" s="954"/>
      <c r="N148" s="954"/>
      <c r="O148" s="954"/>
      <c r="P148" s="954"/>
      <c r="Q148" s="954"/>
      <c r="R148" s="954"/>
      <c r="S148" s="954"/>
      <c r="T148" s="954"/>
      <c r="U148" s="954"/>
      <c r="V148" s="955"/>
      <c r="W148" s="954"/>
      <c r="X148" s="954"/>
      <c r="Y148" s="954"/>
      <c r="Z148" s="954"/>
      <c r="AA148" s="954"/>
      <c r="AB148" s="956"/>
      <c r="AC148" s="954"/>
      <c r="AD148" s="954"/>
      <c r="AE148" s="924"/>
      <c r="AF148" s="924"/>
      <c r="AG148" s="924"/>
      <c r="AH148" s="924"/>
      <c r="AI148" s="924"/>
      <c r="AJ148" s="924"/>
      <c r="AK148" s="924"/>
      <c r="AL148" s="924"/>
      <c r="AM148" s="924"/>
      <c r="AN148" s="924"/>
      <c r="AO148" s="924"/>
      <c r="AP148" s="924"/>
      <c r="AQ148" s="924"/>
      <c r="AR148" s="924"/>
      <c r="AS148" s="924"/>
      <c r="AT148" s="924"/>
      <c r="AU148" s="954"/>
      <c r="AV148" s="954"/>
      <c r="AW148" s="954"/>
      <c r="AX148" s="957"/>
      <c r="AY148" s="924"/>
      <c r="AZ148" s="924"/>
      <c r="BA148" s="924"/>
      <c r="BB148" s="924"/>
      <c r="BC148" s="924"/>
      <c r="BD148" s="924"/>
      <c r="BE148" s="924"/>
      <c r="BF148" s="924"/>
      <c r="BG148" s="955"/>
      <c r="BH148" s="924"/>
    </row>
    <row r="149" spans="1:60" ht="18" customHeight="1" x14ac:dyDescent="0.25">
      <c r="A149" s="1314"/>
      <c r="B149" s="954"/>
      <c r="C149" s="954"/>
      <c r="D149" s="954"/>
      <c r="E149" s="954"/>
      <c r="F149" s="954"/>
      <c r="G149" s="954"/>
      <c r="H149" s="954"/>
      <c r="I149" s="954"/>
      <c r="J149" s="954"/>
      <c r="K149" s="954"/>
      <c r="L149" s="954"/>
      <c r="M149" s="954"/>
      <c r="N149" s="954"/>
      <c r="O149" s="954"/>
      <c r="P149" s="954"/>
      <c r="Q149" s="954"/>
      <c r="R149" s="954"/>
      <c r="S149" s="954"/>
      <c r="T149" s="954"/>
      <c r="U149" s="954"/>
      <c r="V149" s="955"/>
      <c r="W149" s="954"/>
      <c r="X149" s="954"/>
      <c r="Y149" s="954"/>
      <c r="Z149" s="954"/>
      <c r="AA149" s="954"/>
      <c r="AB149" s="956"/>
      <c r="AC149" s="954"/>
      <c r="AD149" s="954"/>
      <c r="AE149" s="924"/>
      <c r="AF149" s="924"/>
      <c r="AG149" s="924"/>
      <c r="AH149" s="924"/>
      <c r="AI149" s="924"/>
      <c r="AJ149" s="924"/>
      <c r="AK149" s="924"/>
      <c r="AL149" s="924"/>
      <c r="AM149" s="924"/>
      <c r="AN149" s="924"/>
      <c r="AO149" s="924"/>
      <c r="AP149" s="924"/>
      <c r="AQ149" s="924"/>
      <c r="AR149" s="924"/>
      <c r="AS149" s="924"/>
      <c r="AT149" s="924"/>
      <c r="AU149" s="954"/>
      <c r="AV149" s="954"/>
      <c r="AW149" s="954"/>
      <c r="AX149" s="957"/>
      <c r="AY149" s="924"/>
      <c r="AZ149" s="924"/>
      <c r="BA149" s="924"/>
      <c r="BB149" s="924"/>
      <c r="BC149" s="924"/>
      <c r="BD149" s="924"/>
      <c r="BE149" s="924"/>
      <c r="BF149" s="924"/>
      <c r="BG149" s="955"/>
      <c r="BH149" s="924"/>
    </row>
    <row r="150" spans="1:60" ht="18" customHeight="1" x14ac:dyDescent="0.25">
      <c r="A150" s="1314"/>
      <c r="B150" s="954"/>
      <c r="C150" s="954"/>
      <c r="D150" s="954"/>
      <c r="E150" s="954"/>
      <c r="F150" s="954"/>
      <c r="G150" s="954"/>
      <c r="H150" s="954"/>
      <c r="I150" s="954"/>
      <c r="J150" s="954"/>
      <c r="K150" s="954"/>
      <c r="L150" s="954"/>
      <c r="M150" s="954"/>
      <c r="N150" s="954"/>
      <c r="O150" s="954"/>
      <c r="P150" s="954"/>
      <c r="Q150" s="954"/>
      <c r="R150" s="954"/>
      <c r="S150" s="954"/>
      <c r="T150" s="954"/>
      <c r="U150" s="954"/>
      <c r="V150" s="955"/>
      <c r="W150" s="954"/>
      <c r="X150" s="954"/>
      <c r="Y150" s="954"/>
      <c r="Z150" s="954"/>
      <c r="AA150" s="954"/>
      <c r="AB150" s="956"/>
      <c r="AC150" s="954"/>
      <c r="AD150" s="954"/>
      <c r="AE150" s="924"/>
      <c r="AF150" s="924"/>
      <c r="AG150" s="924"/>
      <c r="AH150" s="924"/>
      <c r="AI150" s="924"/>
      <c r="AJ150" s="924"/>
      <c r="AK150" s="924"/>
      <c r="AL150" s="924"/>
      <c r="AM150" s="924"/>
      <c r="AN150" s="924"/>
      <c r="AO150" s="924"/>
      <c r="AP150" s="924"/>
      <c r="AQ150" s="924"/>
      <c r="AR150" s="924"/>
      <c r="AS150" s="924"/>
      <c r="AT150" s="924"/>
      <c r="AU150" s="954"/>
      <c r="AV150" s="954"/>
      <c r="AW150" s="954"/>
      <c r="AX150" s="957"/>
      <c r="AY150" s="924"/>
      <c r="AZ150" s="924"/>
      <c r="BA150" s="924"/>
      <c r="BB150" s="924"/>
      <c r="BC150" s="924"/>
      <c r="BD150" s="924"/>
      <c r="BE150" s="924"/>
      <c r="BF150" s="924"/>
      <c r="BG150" s="955"/>
      <c r="BH150" s="924"/>
    </row>
    <row r="151" spans="1:60" ht="18" customHeight="1" x14ac:dyDescent="0.25">
      <c r="A151" s="1314"/>
      <c r="B151" s="954"/>
      <c r="C151" s="954"/>
      <c r="D151" s="954"/>
      <c r="E151" s="954"/>
      <c r="F151" s="954"/>
      <c r="G151" s="954"/>
      <c r="H151" s="954"/>
      <c r="I151" s="954"/>
      <c r="J151" s="954"/>
      <c r="K151" s="954"/>
      <c r="L151" s="954"/>
      <c r="M151" s="954"/>
      <c r="N151" s="954"/>
      <c r="O151" s="954"/>
      <c r="P151" s="954"/>
      <c r="Q151" s="954"/>
      <c r="R151" s="954"/>
      <c r="S151" s="954"/>
      <c r="T151" s="954"/>
      <c r="U151" s="954"/>
      <c r="V151" s="955"/>
      <c r="W151" s="954"/>
      <c r="X151" s="954"/>
      <c r="Y151" s="954"/>
      <c r="Z151" s="954"/>
      <c r="AA151" s="954"/>
      <c r="AB151" s="956"/>
      <c r="AC151" s="954"/>
      <c r="AD151" s="954"/>
      <c r="AE151" s="924"/>
      <c r="AF151" s="924"/>
      <c r="AG151" s="924"/>
      <c r="AH151" s="924"/>
      <c r="AI151" s="924"/>
      <c r="AJ151" s="924"/>
      <c r="AK151" s="924"/>
      <c r="AL151" s="924"/>
      <c r="AM151" s="924"/>
      <c r="AN151" s="924"/>
      <c r="AO151" s="924"/>
      <c r="AP151" s="924"/>
      <c r="AQ151" s="924"/>
      <c r="AR151" s="924"/>
      <c r="AS151" s="924"/>
      <c r="AT151" s="924"/>
      <c r="AU151" s="954"/>
      <c r="AV151" s="954"/>
      <c r="AW151" s="954"/>
      <c r="AX151" s="957"/>
      <c r="AY151" s="924"/>
      <c r="AZ151" s="924"/>
      <c r="BA151" s="924"/>
      <c r="BB151" s="924"/>
      <c r="BC151" s="924"/>
      <c r="BD151" s="924"/>
      <c r="BE151" s="924"/>
      <c r="BF151" s="924"/>
      <c r="BG151" s="955"/>
      <c r="BH151" s="924"/>
    </row>
    <row r="152" spans="1:60" ht="18" customHeight="1" x14ac:dyDescent="0.25">
      <c r="A152" s="1314"/>
      <c r="B152" s="954"/>
      <c r="C152" s="954"/>
      <c r="D152" s="954"/>
      <c r="E152" s="954"/>
      <c r="F152" s="954"/>
      <c r="G152" s="954"/>
      <c r="H152" s="954"/>
      <c r="I152" s="954"/>
      <c r="J152" s="954"/>
      <c r="K152" s="954"/>
      <c r="L152" s="954"/>
      <c r="M152" s="954"/>
      <c r="N152" s="954"/>
      <c r="O152" s="954"/>
      <c r="P152" s="954"/>
      <c r="Q152" s="954"/>
      <c r="R152" s="954"/>
      <c r="S152" s="954"/>
      <c r="T152" s="954"/>
      <c r="U152" s="954"/>
      <c r="V152" s="955"/>
      <c r="W152" s="954"/>
      <c r="X152" s="954"/>
      <c r="Y152" s="954"/>
      <c r="Z152" s="954"/>
      <c r="AA152" s="954"/>
      <c r="AB152" s="956"/>
      <c r="AC152" s="954"/>
      <c r="AD152" s="954"/>
      <c r="AE152" s="924"/>
      <c r="AF152" s="924"/>
      <c r="AG152" s="924"/>
      <c r="AH152" s="924"/>
      <c r="AI152" s="924"/>
      <c r="AJ152" s="924"/>
      <c r="AK152" s="924"/>
      <c r="AL152" s="924"/>
      <c r="AM152" s="924"/>
      <c r="AN152" s="924"/>
      <c r="AO152" s="924"/>
      <c r="AP152" s="924"/>
      <c r="AQ152" s="924"/>
      <c r="AR152" s="924"/>
      <c r="AS152" s="924"/>
      <c r="AT152" s="924"/>
      <c r="AU152" s="954"/>
      <c r="AV152" s="954"/>
      <c r="AW152" s="954"/>
      <c r="AX152" s="957"/>
      <c r="AY152" s="924"/>
      <c r="AZ152" s="924"/>
      <c r="BA152" s="924"/>
      <c r="BB152" s="924"/>
      <c r="BC152" s="924"/>
      <c r="BD152" s="924"/>
      <c r="BE152" s="924"/>
      <c r="BF152" s="924"/>
      <c r="BG152" s="955"/>
      <c r="BH152" s="924"/>
    </row>
    <row r="153" spans="1:60" ht="18" customHeight="1" x14ac:dyDescent="0.25">
      <c r="A153" s="1314"/>
      <c r="B153" s="954"/>
      <c r="C153" s="954"/>
      <c r="D153" s="954"/>
      <c r="E153" s="954"/>
      <c r="F153" s="954"/>
      <c r="G153" s="954"/>
      <c r="H153" s="954"/>
      <c r="I153" s="954"/>
      <c r="J153" s="954"/>
      <c r="K153" s="954"/>
      <c r="L153" s="954"/>
      <c r="M153" s="954"/>
      <c r="N153" s="954"/>
      <c r="O153" s="954"/>
      <c r="P153" s="954"/>
      <c r="Q153" s="954"/>
      <c r="R153" s="954"/>
      <c r="S153" s="954"/>
      <c r="T153" s="954"/>
      <c r="U153" s="954"/>
      <c r="V153" s="955"/>
      <c r="W153" s="954"/>
      <c r="X153" s="954"/>
      <c r="Y153" s="954"/>
      <c r="Z153" s="954"/>
      <c r="AA153" s="954"/>
      <c r="AB153" s="956"/>
      <c r="AC153" s="954"/>
      <c r="AD153" s="954"/>
      <c r="AE153" s="924"/>
      <c r="AF153" s="924"/>
      <c r="AG153" s="924"/>
      <c r="AH153" s="924"/>
      <c r="AI153" s="924"/>
      <c r="AJ153" s="924"/>
      <c r="AK153" s="924"/>
      <c r="AL153" s="924"/>
      <c r="AM153" s="924"/>
      <c r="AN153" s="924"/>
      <c r="AO153" s="924"/>
      <c r="AP153" s="924"/>
      <c r="AQ153" s="924"/>
      <c r="AR153" s="924"/>
      <c r="AS153" s="924"/>
      <c r="AT153" s="924"/>
      <c r="AU153" s="954"/>
      <c r="AV153" s="954"/>
      <c r="AW153" s="954"/>
      <c r="AX153" s="957"/>
      <c r="AY153" s="924"/>
      <c r="AZ153" s="924"/>
      <c r="BA153" s="924"/>
      <c r="BB153" s="924"/>
      <c r="BC153" s="924"/>
      <c r="BD153" s="924"/>
      <c r="BE153" s="924"/>
      <c r="BF153" s="924"/>
      <c r="BG153" s="955"/>
      <c r="BH153" s="924"/>
    </row>
    <row r="154" spans="1:60" ht="18" customHeight="1" x14ac:dyDescent="0.25">
      <c r="A154" s="1314"/>
      <c r="B154" s="954"/>
      <c r="C154" s="954"/>
      <c r="D154" s="954"/>
      <c r="E154" s="954"/>
      <c r="F154" s="954"/>
      <c r="G154" s="954"/>
      <c r="H154" s="954"/>
      <c r="I154" s="954"/>
      <c r="J154" s="954"/>
      <c r="K154" s="954"/>
      <c r="L154" s="954"/>
      <c r="M154" s="954"/>
      <c r="N154" s="954"/>
      <c r="O154" s="954"/>
      <c r="P154" s="954"/>
      <c r="Q154" s="954"/>
      <c r="R154" s="954"/>
      <c r="S154" s="954"/>
      <c r="T154" s="954"/>
      <c r="U154" s="954"/>
      <c r="V154" s="955"/>
      <c r="W154" s="954"/>
      <c r="X154" s="954"/>
      <c r="Y154" s="954"/>
      <c r="Z154" s="954"/>
      <c r="AA154" s="954"/>
      <c r="AB154" s="956"/>
      <c r="AC154" s="954"/>
      <c r="AD154" s="954"/>
      <c r="AE154" s="924"/>
      <c r="AF154" s="924"/>
      <c r="AG154" s="924"/>
      <c r="AH154" s="924"/>
      <c r="AI154" s="924"/>
      <c r="AJ154" s="924"/>
      <c r="AK154" s="924"/>
      <c r="AL154" s="924"/>
      <c r="AM154" s="924"/>
      <c r="AN154" s="924"/>
      <c r="AO154" s="924"/>
      <c r="AP154" s="924"/>
      <c r="AQ154" s="924"/>
      <c r="AR154" s="924"/>
      <c r="AS154" s="924"/>
      <c r="AT154" s="924"/>
      <c r="AU154" s="954"/>
      <c r="AV154" s="954"/>
      <c r="AW154" s="954"/>
      <c r="AX154" s="957"/>
      <c r="AY154" s="924"/>
      <c r="AZ154" s="924"/>
      <c r="BA154" s="924"/>
      <c r="BB154" s="924"/>
      <c r="BC154" s="924"/>
      <c r="BD154" s="924"/>
      <c r="BE154" s="924"/>
      <c r="BF154" s="924"/>
      <c r="BG154" s="955"/>
      <c r="BH154" s="924"/>
    </row>
    <row r="155" spans="1:60" ht="18" customHeight="1" x14ac:dyDescent="0.25">
      <c r="A155" s="1314"/>
      <c r="B155" s="954"/>
      <c r="C155" s="954"/>
      <c r="D155" s="954"/>
      <c r="E155" s="954"/>
      <c r="F155" s="954"/>
      <c r="G155" s="954"/>
      <c r="H155" s="954"/>
      <c r="I155" s="954"/>
      <c r="J155" s="954"/>
      <c r="K155" s="954"/>
      <c r="L155" s="954"/>
      <c r="M155" s="954"/>
      <c r="N155" s="954"/>
      <c r="O155" s="954"/>
      <c r="P155" s="954"/>
      <c r="Q155" s="954"/>
      <c r="R155" s="954"/>
      <c r="S155" s="954"/>
      <c r="T155" s="954"/>
      <c r="U155" s="954"/>
      <c r="V155" s="955"/>
      <c r="W155" s="954"/>
      <c r="X155" s="954"/>
      <c r="Y155" s="954"/>
      <c r="Z155" s="954"/>
      <c r="AA155" s="954"/>
      <c r="AB155" s="956"/>
      <c r="AC155" s="954"/>
      <c r="AD155" s="954"/>
      <c r="AE155" s="924"/>
      <c r="AF155" s="924"/>
      <c r="AG155" s="924"/>
      <c r="AH155" s="924"/>
      <c r="AI155" s="924"/>
      <c r="AJ155" s="924"/>
      <c r="AK155" s="924"/>
      <c r="AL155" s="924"/>
      <c r="AM155" s="924"/>
      <c r="AN155" s="924"/>
      <c r="AO155" s="924"/>
      <c r="AP155" s="924"/>
      <c r="AQ155" s="924"/>
      <c r="AR155" s="924"/>
      <c r="AS155" s="924"/>
      <c r="AT155" s="924"/>
      <c r="AU155" s="954"/>
      <c r="AV155" s="954"/>
      <c r="AW155" s="954"/>
      <c r="AX155" s="957"/>
      <c r="AY155" s="924"/>
      <c r="AZ155" s="924"/>
      <c r="BA155" s="924"/>
      <c r="BB155" s="924"/>
      <c r="BC155" s="924"/>
      <c r="BD155" s="924"/>
      <c r="BE155" s="924"/>
      <c r="BF155" s="924"/>
      <c r="BG155" s="955"/>
      <c r="BH155" s="924"/>
    </row>
    <row r="156" spans="1:60" ht="18" customHeight="1" x14ac:dyDescent="0.25">
      <c r="A156" s="1314"/>
      <c r="B156" s="954"/>
      <c r="C156" s="954"/>
      <c r="D156" s="954"/>
      <c r="E156" s="954"/>
      <c r="F156" s="954"/>
      <c r="G156" s="954"/>
      <c r="H156" s="954"/>
      <c r="I156" s="954"/>
      <c r="J156" s="954"/>
      <c r="K156" s="954"/>
      <c r="L156" s="954"/>
      <c r="M156" s="954"/>
      <c r="N156" s="954"/>
      <c r="O156" s="954"/>
      <c r="P156" s="954"/>
      <c r="Q156" s="954"/>
      <c r="R156" s="954"/>
      <c r="S156" s="954"/>
      <c r="T156" s="954"/>
      <c r="U156" s="954"/>
      <c r="V156" s="955"/>
      <c r="W156" s="954"/>
      <c r="X156" s="954"/>
      <c r="Y156" s="954"/>
      <c r="Z156" s="954"/>
      <c r="AA156" s="954"/>
      <c r="AB156" s="956"/>
      <c r="AC156" s="954"/>
      <c r="AD156" s="954"/>
      <c r="AE156" s="924"/>
      <c r="AF156" s="924"/>
      <c r="AG156" s="924"/>
      <c r="AH156" s="924"/>
      <c r="AI156" s="924"/>
      <c r="AJ156" s="924"/>
      <c r="AK156" s="924"/>
      <c r="AL156" s="924"/>
      <c r="AM156" s="924"/>
      <c r="AN156" s="924"/>
      <c r="AO156" s="924"/>
      <c r="AP156" s="924"/>
      <c r="AQ156" s="924"/>
      <c r="AR156" s="924"/>
      <c r="AS156" s="924"/>
      <c r="AT156" s="924"/>
      <c r="AU156" s="954"/>
      <c r="AV156" s="954"/>
      <c r="AW156" s="954"/>
      <c r="AX156" s="957"/>
      <c r="AY156" s="924"/>
      <c r="AZ156" s="924"/>
      <c r="BA156" s="924"/>
      <c r="BB156" s="924"/>
      <c r="BC156" s="924"/>
      <c r="BD156" s="924"/>
      <c r="BE156" s="924"/>
      <c r="BF156" s="924"/>
      <c r="BG156" s="955"/>
      <c r="BH156" s="924"/>
    </row>
    <row r="157" spans="1:60" ht="18" customHeight="1" x14ac:dyDescent="0.25">
      <c r="A157" s="1314"/>
      <c r="B157" s="954"/>
      <c r="C157" s="954"/>
      <c r="D157" s="954"/>
      <c r="E157" s="954"/>
      <c r="F157" s="954"/>
      <c r="G157" s="954"/>
      <c r="H157" s="954"/>
      <c r="I157" s="954"/>
      <c r="J157" s="954"/>
      <c r="K157" s="954"/>
      <c r="L157" s="954"/>
      <c r="M157" s="954"/>
      <c r="N157" s="954"/>
      <c r="O157" s="954"/>
      <c r="P157" s="954"/>
      <c r="Q157" s="954"/>
      <c r="R157" s="954"/>
      <c r="S157" s="954"/>
      <c r="T157" s="954"/>
      <c r="U157" s="954"/>
      <c r="V157" s="955"/>
      <c r="W157" s="954"/>
      <c r="X157" s="954"/>
      <c r="Y157" s="954"/>
      <c r="Z157" s="954"/>
      <c r="AA157" s="954"/>
      <c r="AB157" s="956"/>
      <c r="AC157" s="954"/>
      <c r="AD157" s="954"/>
      <c r="AE157" s="924"/>
      <c r="AF157" s="924"/>
      <c r="AG157" s="924"/>
      <c r="AH157" s="924"/>
      <c r="AI157" s="924"/>
      <c r="AJ157" s="924"/>
      <c r="AK157" s="924"/>
      <c r="AL157" s="924"/>
      <c r="AM157" s="924"/>
      <c r="AN157" s="924"/>
      <c r="AO157" s="924"/>
      <c r="AP157" s="924"/>
      <c r="AQ157" s="924"/>
      <c r="AR157" s="924"/>
      <c r="AS157" s="924"/>
      <c r="AT157" s="924"/>
      <c r="AU157" s="954"/>
      <c r="AV157" s="954"/>
      <c r="AW157" s="954"/>
      <c r="AX157" s="957"/>
      <c r="AY157" s="924"/>
      <c r="AZ157" s="924"/>
      <c r="BA157" s="924"/>
      <c r="BB157" s="924"/>
      <c r="BC157" s="924"/>
      <c r="BD157" s="924"/>
      <c r="BE157" s="924"/>
      <c r="BF157" s="924"/>
      <c r="BG157" s="955"/>
      <c r="BH157" s="924"/>
    </row>
    <row r="158" spans="1:60" ht="18" customHeight="1" x14ac:dyDescent="0.25">
      <c r="A158" s="1314"/>
      <c r="B158" s="954"/>
      <c r="C158" s="954"/>
      <c r="D158" s="954"/>
      <c r="E158" s="954"/>
      <c r="F158" s="954"/>
      <c r="G158" s="954"/>
      <c r="H158" s="954"/>
      <c r="I158" s="954"/>
      <c r="J158" s="954"/>
      <c r="K158" s="954"/>
      <c r="L158" s="954"/>
      <c r="M158" s="954"/>
      <c r="N158" s="954"/>
      <c r="O158" s="954"/>
      <c r="P158" s="954"/>
      <c r="Q158" s="954"/>
      <c r="R158" s="954"/>
      <c r="S158" s="954"/>
      <c r="T158" s="954"/>
      <c r="U158" s="954"/>
      <c r="V158" s="955"/>
      <c r="W158" s="954"/>
      <c r="X158" s="954"/>
      <c r="Y158" s="954"/>
      <c r="Z158" s="954"/>
      <c r="AA158" s="954"/>
      <c r="AB158" s="956"/>
      <c r="AC158" s="954"/>
      <c r="AD158" s="954"/>
      <c r="AE158" s="924"/>
      <c r="AF158" s="924"/>
      <c r="AG158" s="924"/>
      <c r="AH158" s="924"/>
      <c r="AI158" s="924"/>
      <c r="AJ158" s="924"/>
      <c r="AK158" s="924"/>
      <c r="AL158" s="924"/>
      <c r="AM158" s="924"/>
      <c r="AN158" s="924"/>
      <c r="AO158" s="924"/>
      <c r="AP158" s="924"/>
      <c r="AQ158" s="924"/>
      <c r="AR158" s="924"/>
      <c r="AS158" s="924"/>
      <c r="AT158" s="924"/>
      <c r="AU158" s="954"/>
      <c r="AV158" s="954"/>
      <c r="AW158" s="954"/>
      <c r="AX158" s="957"/>
      <c r="AY158" s="924"/>
      <c r="AZ158" s="924"/>
      <c r="BA158" s="924"/>
      <c r="BB158" s="924"/>
      <c r="BC158" s="924"/>
      <c r="BD158" s="924"/>
      <c r="BE158" s="924"/>
      <c r="BF158" s="924"/>
      <c r="BG158" s="955"/>
      <c r="BH158" s="924"/>
    </row>
    <row r="159" spans="1:60" ht="18" customHeight="1" x14ac:dyDescent="0.25">
      <c r="A159" s="1314"/>
      <c r="B159" s="954"/>
      <c r="C159" s="954"/>
      <c r="D159" s="954"/>
      <c r="E159" s="954"/>
      <c r="F159" s="954"/>
      <c r="G159" s="954"/>
      <c r="H159" s="954"/>
      <c r="I159" s="954"/>
      <c r="J159" s="954"/>
      <c r="K159" s="954"/>
      <c r="L159" s="954"/>
      <c r="M159" s="954"/>
      <c r="N159" s="954"/>
      <c r="O159" s="954"/>
      <c r="P159" s="954"/>
      <c r="Q159" s="954"/>
      <c r="R159" s="954"/>
      <c r="S159" s="954"/>
      <c r="T159" s="954"/>
      <c r="U159" s="954"/>
      <c r="V159" s="955"/>
      <c r="W159" s="954"/>
      <c r="X159" s="954"/>
      <c r="Y159" s="954"/>
      <c r="Z159" s="954"/>
      <c r="AA159" s="954"/>
      <c r="AB159" s="956"/>
      <c r="AC159" s="954"/>
      <c r="AD159" s="954"/>
      <c r="AE159" s="924"/>
      <c r="AF159" s="924"/>
      <c r="AG159" s="924"/>
      <c r="AH159" s="924"/>
      <c r="AI159" s="924"/>
      <c r="AJ159" s="924"/>
      <c r="AK159" s="924"/>
      <c r="AL159" s="924"/>
      <c r="AM159" s="924"/>
      <c r="AN159" s="924"/>
      <c r="AO159" s="924"/>
      <c r="AP159" s="924"/>
      <c r="AQ159" s="924"/>
      <c r="AR159" s="924"/>
      <c r="AS159" s="924"/>
      <c r="AT159" s="924"/>
      <c r="AU159" s="954"/>
      <c r="AV159" s="954"/>
      <c r="AW159" s="954"/>
      <c r="AX159" s="957"/>
      <c r="AY159" s="924"/>
      <c r="AZ159" s="924"/>
      <c r="BA159" s="924"/>
      <c r="BB159" s="924"/>
      <c r="BC159" s="924"/>
      <c r="BD159" s="924"/>
      <c r="BE159" s="924"/>
      <c r="BF159" s="924"/>
      <c r="BG159" s="955"/>
      <c r="BH159" s="924"/>
    </row>
    <row r="160" spans="1:60" ht="18" customHeight="1" x14ac:dyDescent="0.25">
      <c r="A160" s="1314"/>
      <c r="B160" s="954"/>
      <c r="C160" s="954"/>
      <c r="D160" s="954"/>
      <c r="E160" s="954"/>
      <c r="F160" s="954"/>
      <c r="G160" s="954"/>
      <c r="H160" s="954"/>
      <c r="I160" s="954"/>
      <c r="J160" s="954"/>
      <c r="K160" s="954"/>
      <c r="L160" s="954"/>
      <c r="M160" s="954"/>
      <c r="N160" s="954"/>
      <c r="O160" s="954"/>
      <c r="P160" s="954"/>
      <c r="Q160" s="954"/>
      <c r="R160" s="954"/>
      <c r="S160" s="954"/>
      <c r="T160" s="954"/>
      <c r="U160" s="954"/>
      <c r="V160" s="955"/>
      <c r="W160" s="954"/>
      <c r="X160" s="954"/>
      <c r="Y160" s="954"/>
      <c r="Z160" s="954"/>
      <c r="AA160" s="954"/>
      <c r="AB160" s="956"/>
      <c r="AC160" s="954"/>
      <c r="AD160" s="954"/>
      <c r="AE160" s="924"/>
      <c r="AF160" s="924"/>
      <c r="AG160" s="924"/>
      <c r="AH160" s="924"/>
      <c r="AI160" s="924"/>
      <c r="AJ160" s="924"/>
      <c r="AK160" s="924"/>
      <c r="AL160" s="924"/>
      <c r="AM160" s="924"/>
      <c r="AN160" s="924"/>
      <c r="AO160" s="924"/>
      <c r="AP160" s="924"/>
      <c r="AQ160" s="924"/>
      <c r="AR160" s="924"/>
      <c r="AS160" s="924"/>
      <c r="AT160" s="924"/>
      <c r="AU160" s="954"/>
      <c r="AV160" s="954"/>
      <c r="AW160" s="954"/>
      <c r="AX160" s="957"/>
      <c r="AY160" s="924"/>
      <c r="AZ160" s="924"/>
      <c r="BA160" s="924"/>
      <c r="BB160" s="924"/>
      <c r="BC160" s="924"/>
      <c r="BD160" s="924"/>
      <c r="BE160" s="924"/>
      <c r="BF160" s="924"/>
      <c r="BG160" s="955"/>
      <c r="BH160" s="924"/>
    </row>
    <row r="161" spans="1:60" ht="18" customHeight="1" x14ac:dyDescent="0.25">
      <c r="A161" s="1314"/>
      <c r="B161" s="954"/>
      <c r="C161" s="954"/>
      <c r="D161" s="954"/>
      <c r="E161" s="954"/>
      <c r="F161" s="954"/>
      <c r="G161" s="954"/>
      <c r="H161" s="954"/>
      <c r="I161" s="954"/>
      <c r="J161" s="954"/>
      <c r="K161" s="954"/>
      <c r="L161" s="954"/>
      <c r="M161" s="954"/>
      <c r="N161" s="954"/>
      <c r="O161" s="954"/>
      <c r="P161" s="954"/>
      <c r="Q161" s="954"/>
      <c r="R161" s="954"/>
      <c r="S161" s="954"/>
      <c r="T161" s="954"/>
      <c r="U161" s="954"/>
      <c r="V161" s="955"/>
      <c r="W161" s="954"/>
      <c r="X161" s="954"/>
      <c r="Y161" s="954"/>
      <c r="Z161" s="954"/>
      <c r="AA161" s="954"/>
      <c r="AB161" s="956"/>
      <c r="AC161" s="954"/>
      <c r="AD161" s="954"/>
      <c r="AE161" s="924"/>
      <c r="AF161" s="924"/>
      <c r="AG161" s="924"/>
      <c r="AH161" s="924"/>
      <c r="AI161" s="924"/>
      <c r="AJ161" s="924"/>
      <c r="AK161" s="924"/>
      <c r="AL161" s="924"/>
      <c r="AM161" s="924"/>
      <c r="AN161" s="924"/>
      <c r="AO161" s="924"/>
      <c r="AP161" s="924"/>
      <c r="AQ161" s="924"/>
      <c r="AR161" s="924"/>
      <c r="AS161" s="924"/>
      <c r="AT161" s="924"/>
      <c r="AU161" s="954"/>
      <c r="AV161" s="954"/>
      <c r="AW161" s="954"/>
      <c r="AX161" s="957"/>
      <c r="AY161" s="924"/>
      <c r="AZ161" s="924"/>
      <c r="BA161" s="924"/>
      <c r="BB161" s="924"/>
      <c r="BC161" s="924"/>
      <c r="BD161" s="924"/>
      <c r="BE161" s="924"/>
      <c r="BF161" s="924"/>
      <c r="BG161" s="955"/>
      <c r="BH161" s="924"/>
    </row>
    <row r="162" spans="1:60" ht="18" customHeight="1" x14ac:dyDescent="0.25">
      <c r="A162" s="1314"/>
      <c r="B162" s="954"/>
      <c r="C162" s="954"/>
      <c r="D162" s="954"/>
      <c r="E162" s="954"/>
      <c r="F162" s="954"/>
      <c r="G162" s="954"/>
      <c r="H162" s="954"/>
      <c r="I162" s="954"/>
      <c r="J162" s="954"/>
      <c r="K162" s="954"/>
      <c r="L162" s="954"/>
      <c r="M162" s="954"/>
      <c r="N162" s="954"/>
      <c r="O162" s="954"/>
      <c r="P162" s="954"/>
      <c r="Q162" s="954"/>
      <c r="R162" s="954"/>
      <c r="S162" s="954"/>
      <c r="T162" s="954"/>
      <c r="U162" s="954"/>
      <c r="V162" s="955"/>
      <c r="W162" s="954"/>
      <c r="X162" s="954"/>
      <c r="Y162" s="954"/>
      <c r="Z162" s="954"/>
      <c r="AA162" s="954"/>
      <c r="AB162" s="956"/>
      <c r="AC162" s="954"/>
      <c r="AD162" s="954"/>
      <c r="AE162" s="924"/>
      <c r="AF162" s="924"/>
      <c r="AG162" s="924"/>
      <c r="AH162" s="924"/>
      <c r="AI162" s="924"/>
      <c r="AJ162" s="924"/>
      <c r="AK162" s="924"/>
      <c r="AL162" s="924"/>
      <c r="AM162" s="924"/>
      <c r="AN162" s="924"/>
      <c r="AO162" s="924"/>
      <c r="AP162" s="924"/>
      <c r="AQ162" s="924"/>
      <c r="AR162" s="924"/>
      <c r="AS162" s="924"/>
      <c r="AT162" s="924"/>
      <c r="AU162" s="954"/>
      <c r="AV162" s="954"/>
      <c r="AW162" s="954"/>
      <c r="AX162" s="957"/>
      <c r="AY162" s="924"/>
      <c r="AZ162" s="924"/>
      <c r="BA162" s="924"/>
      <c r="BB162" s="924"/>
      <c r="BC162" s="924"/>
      <c r="BD162" s="924"/>
      <c r="BE162" s="924"/>
      <c r="BF162" s="924"/>
      <c r="BG162" s="955"/>
      <c r="BH162" s="924"/>
    </row>
    <row r="163" spans="1:60" ht="18" customHeight="1" x14ac:dyDescent="0.25">
      <c r="A163" s="1314"/>
      <c r="B163" s="954"/>
      <c r="C163" s="954"/>
      <c r="D163" s="954"/>
      <c r="E163" s="954"/>
      <c r="F163" s="954"/>
      <c r="G163" s="954"/>
      <c r="H163" s="954"/>
      <c r="I163" s="954"/>
      <c r="J163" s="954"/>
      <c r="K163" s="954"/>
      <c r="L163" s="954"/>
      <c r="M163" s="954"/>
      <c r="N163" s="954"/>
      <c r="O163" s="954"/>
      <c r="P163" s="954"/>
      <c r="Q163" s="954"/>
      <c r="R163" s="954"/>
      <c r="S163" s="954"/>
      <c r="T163" s="954"/>
      <c r="U163" s="954"/>
      <c r="V163" s="955"/>
      <c r="W163" s="954"/>
      <c r="X163" s="954"/>
      <c r="Y163" s="954"/>
      <c r="Z163" s="954"/>
      <c r="AA163" s="954"/>
      <c r="AB163" s="956"/>
      <c r="AC163" s="954"/>
      <c r="AD163" s="954"/>
      <c r="AE163" s="924"/>
      <c r="AF163" s="924"/>
      <c r="AG163" s="924"/>
      <c r="AH163" s="924"/>
      <c r="AI163" s="924"/>
      <c r="AJ163" s="924"/>
      <c r="AK163" s="924"/>
      <c r="AL163" s="924"/>
      <c r="AM163" s="924"/>
      <c r="AN163" s="924"/>
      <c r="AO163" s="924"/>
      <c r="AP163" s="924"/>
      <c r="AQ163" s="924"/>
      <c r="AR163" s="924"/>
      <c r="AS163" s="924"/>
      <c r="AT163" s="924"/>
      <c r="AU163" s="954"/>
      <c r="AV163" s="954"/>
      <c r="AW163" s="954"/>
      <c r="AX163" s="957"/>
      <c r="AY163" s="924"/>
      <c r="AZ163" s="924"/>
      <c r="BA163" s="924"/>
      <c r="BB163" s="924"/>
      <c r="BC163" s="924"/>
      <c r="BD163" s="924"/>
      <c r="BE163" s="924"/>
      <c r="BF163" s="924"/>
      <c r="BG163" s="955"/>
      <c r="BH163" s="924"/>
    </row>
    <row r="164" spans="1:60" ht="18" customHeight="1" x14ac:dyDescent="0.25">
      <c r="A164" s="1314"/>
      <c r="B164" s="954"/>
      <c r="C164" s="954"/>
      <c r="D164" s="954"/>
      <c r="E164" s="954"/>
      <c r="F164" s="954"/>
      <c r="G164" s="954"/>
      <c r="H164" s="954"/>
      <c r="I164" s="954"/>
      <c r="J164" s="954"/>
      <c r="K164" s="954"/>
      <c r="L164" s="954"/>
      <c r="M164" s="954"/>
      <c r="N164" s="954"/>
      <c r="O164" s="954"/>
      <c r="P164" s="954"/>
      <c r="Q164" s="954"/>
      <c r="R164" s="954"/>
      <c r="S164" s="954"/>
      <c r="T164" s="954"/>
      <c r="U164" s="954"/>
      <c r="V164" s="955"/>
      <c r="W164" s="954"/>
      <c r="X164" s="954"/>
      <c r="Y164" s="954"/>
      <c r="Z164" s="954"/>
      <c r="AA164" s="954"/>
      <c r="AB164" s="956"/>
      <c r="AC164" s="954"/>
      <c r="AD164" s="954"/>
      <c r="AE164" s="924"/>
      <c r="AF164" s="924"/>
      <c r="AG164" s="924"/>
      <c r="AH164" s="924"/>
      <c r="AI164" s="924"/>
      <c r="AJ164" s="924"/>
      <c r="AK164" s="924"/>
      <c r="AL164" s="924"/>
      <c r="AM164" s="924"/>
      <c r="AN164" s="924"/>
      <c r="AO164" s="924"/>
      <c r="AP164" s="924"/>
      <c r="AQ164" s="924"/>
      <c r="AR164" s="924"/>
      <c r="AS164" s="924"/>
      <c r="AT164" s="924"/>
      <c r="AU164" s="954"/>
      <c r="AV164" s="954"/>
      <c r="AW164" s="954"/>
      <c r="AX164" s="957"/>
      <c r="AY164" s="924"/>
      <c r="AZ164" s="924"/>
      <c r="BA164" s="924"/>
      <c r="BB164" s="924"/>
      <c r="BC164" s="924"/>
      <c r="BD164" s="924"/>
      <c r="BE164" s="924"/>
      <c r="BF164" s="924"/>
      <c r="BG164" s="955"/>
      <c r="BH164" s="924"/>
    </row>
    <row r="165" spans="1:60" ht="18" customHeight="1" x14ac:dyDescent="0.25">
      <c r="A165" s="1314"/>
      <c r="B165" s="954"/>
      <c r="C165" s="954"/>
      <c r="D165" s="954"/>
      <c r="E165" s="954"/>
      <c r="F165" s="954"/>
      <c r="G165" s="954"/>
      <c r="H165" s="954"/>
      <c r="I165" s="954"/>
      <c r="J165" s="954"/>
      <c r="K165" s="954"/>
      <c r="L165" s="954"/>
      <c r="M165" s="954"/>
      <c r="N165" s="954"/>
      <c r="O165" s="954"/>
      <c r="P165" s="954"/>
      <c r="Q165" s="954"/>
      <c r="R165" s="954"/>
      <c r="S165" s="954"/>
      <c r="T165" s="954"/>
      <c r="U165" s="954"/>
      <c r="V165" s="955"/>
      <c r="W165" s="954"/>
      <c r="X165" s="954"/>
      <c r="Y165" s="954"/>
      <c r="Z165" s="954"/>
      <c r="AA165" s="954"/>
      <c r="AB165" s="956"/>
      <c r="AC165" s="954"/>
      <c r="AD165" s="954"/>
      <c r="AE165" s="924"/>
      <c r="AF165" s="924"/>
      <c r="AG165" s="924"/>
      <c r="AH165" s="924"/>
      <c r="AI165" s="924"/>
      <c r="AJ165" s="924"/>
      <c r="AK165" s="924"/>
      <c r="AL165" s="924"/>
      <c r="AM165" s="924"/>
      <c r="AN165" s="924"/>
      <c r="AO165" s="924"/>
      <c r="AP165" s="924"/>
      <c r="AQ165" s="924"/>
      <c r="AR165" s="924"/>
      <c r="AS165" s="924"/>
      <c r="AT165" s="924"/>
      <c r="AU165" s="954"/>
      <c r="AV165" s="954"/>
      <c r="AW165" s="954"/>
      <c r="AX165" s="957"/>
      <c r="AY165" s="924"/>
      <c r="AZ165" s="924"/>
      <c r="BA165" s="924"/>
      <c r="BB165" s="924"/>
      <c r="BC165" s="924"/>
      <c r="BD165" s="924"/>
      <c r="BE165" s="924"/>
      <c r="BF165" s="924"/>
      <c r="BG165" s="955"/>
      <c r="BH165" s="924"/>
    </row>
    <row r="166" spans="1:60" ht="18" customHeight="1" x14ac:dyDescent="0.25">
      <c r="A166" s="1314"/>
      <c r="B166" s="954"/>
      <c r="C166" s="954"/>
      <c r="D166" s="954"/>
      <c r="E166" s="954"/>
      <c r="F166" s="954"/>
      <c r="G166" s="954"/>
      <c r="H166" s="954"/>
      <c r="I166" s="954"/>
      <c r="J166" s="954"/>
      <c r="K166" s="954"/>
      <c r="L166" s="954"/>
      <c r="M166" s="954"/>
      <c r="N166" s="954"/>
      <c r="O166" s="954"/>
      <c r="P166" s="954"/>
      <c r="Q166" s="954"/>
      <c r="R166" s="954"/>
      <c r="S166" s="954"/>
      <c r="T166" s="954"/>
      <c r="U166" s="954"/>
      <c r="V166" s="955"/>
      <c r="W166" s="954"/>
      <c r="X166" s="954"/>
      <c r="Y166" s="954"/>
      <c r="Z166" s="954"/>
      <c r="AA166" s="954"/>
      <c r="AB166" s="956"/>
      <c r="AC166" s="954"/>
      <c r="AD166" s="954"/>
      <c r="AE166" s="924"/>
      <c r="AF166" s="924"/>
      <c r="AG166" s="924"/>
      <c r="AH166" s="924"/>
      <c r="AI166" s="924"/>
      <c r="AJ166" s="924"/>
      <c r="AK166" s="924"/>
      <c r="AL166" s="924"/>
      <c r="AM166" s="924"/>
      <c r="AN166" s="924"/>
      <c r="AO166" s="924"/>
      <c r="AP166" s="924"/>
      <c r="AQ166" s="924"/>
      <c r="AR166" s="924"/>
      <c r="AS166" s="924"/>
      <c r="AT166" s="924"/>
      <c r="AU166" s="954"/>
      <c r="AV166" s="954"/>
      <c r="AW166" s="954"/>
      <c r="AX166" s="957"/>
      <c r="AY166" s="924"/>
      <c r="AZ166" s="924"/>
      <c r="BA166" s="924"/>
      <c r="BB166" s="924"/>
      <c r="BC166" s="924"/>
      <c r="BD166" s="924"/>
      <c r="BE166" s="924"/>
      <c r="BF166" s="924"/>
      <c r="BG166" s="955"/>
      <c r="BH166" s="924"/>
    </row>
    <row r="167" spans="1:60" ht="18" customHeight="1" x14ac:dyDescent="0.25">
      <c r="A167" s="1314"/>
      <c r="B167" s="954"/>
      <c r="C167" s="954"/>
      <c r="D167" s="954"/>
      <c r="E167" s="954"/>
      <c r="F167" s="954"/>
      <c r="G167" s="954"/>
      <c r="H167" s="954"/>
      <c r="I167" s="954"/>
      <c r="J167" s="954"/>
      <c r="K167" s="954"/>
      <c r="L167" s="954"/>
      <c r="M167" s="954"/>
      <c r="N167" s="954"/>
      <c r="O167" s="954"/>
      <c r="P167" s="954"/>
      <c r="Q167" s="954"/>
      <c r="R167" s="954"/>
      <c r="S167" s="954"/>
      <c r="T167" s="954"/>
      <c r="U167" s="954"/>
      <c r="V167" s="955"/>
      <c r="W167" s="954"/>
      <c r="X167" s="954"/>
      <c r="Y167" s="954"/>
      <c r="Z167" s="954"/>
      <c r="AA167" s="954"/>
      <c r="AB167" s="956"/>
      <c r="AC167" s="954"/>
      <c r="AD167" s="954"/>
      <c r="AE167" s="924"/>
      <c r="AF167" s="924"/>
      <c r="AG167" s="924"/>
      <c r="AH167" s="924"/>
      <c r="AI167" s="924"/>
      <c r="AJ167" s="924"/>
      <c r="AK167" s="924"/>
      <c r="AL167" s="924"/>
      <c r="AM167" s="924"/>
      <c r="AN167" s="924"/>
      <c r="AO167" s="924"/>
      <c r="AP167" s="924"/>
      <c r="AQ167" s="924"/>
      <c r="AR167" s="924"/>
      <c r="AS167" s="924"/>
      <c r="AT167" s="924"/>
      <c r="AU167" s="954"/>
      <c r="AV167" s="954"/>
      <c r="AW167" s="954"/>
      <c r="AX167" s="957"/>
      <c r="AY167" s="924"/>
      <c r="AZ167" s="924"/>
      <c r="BA167" s="924"/>
      <c r="BB167" s="924"/>
      <c r="BC167" s="924"/>
      <c r="BD167" s="924"/>
      <c r="BE167" s="924"/>
      <c r="BF167" s="924"/>
      <c r="BG167" s="955"/>
      <c r="BH167" s="924"/>
    </row>
    <row r="168" spans="1:60" ht="18" customHeight="1" x14ac:dyDescent="0.25">
      <c r="A168" s="1314"/>
      <c r="B168" s="954"/>
      <c r="C168" s="954"/>
      <c r="D168" s="954"/>
      <c r="E168" s="954"/>
      <c r="F168" s="954"/>
      <c r="G168" s="954"/>
      <c r="H168" s="954"/>
      <c r="I168" s="954"/>
      <c r="J168" s="954"/>
      <c r="K168" s="954"/>
      <c r="L168" s="954"/>
      <c r="M168" s="954"/>
      <c r="N168" s="954"/>
      <c r="O168" s="954"/>
      <c r="P168" s="954"/>
      <c r="Q168" s="954"/>
      <c r="R168" s="954"/>
      <c r="S168" s="954"/>
      <c r="T168" s="954"/>
      <c r="U168" s="954"/>
      <c r="V168" s="955"/>
      <c r="W168" s="954"/>
      <c r="X168" s="954"/>
      <c r="Y168" s="954"/>
      <c r="Z168" s="954"/>
      <c r="AA168" s="954"/>
      <c r="AB168" s="956"/>
      <c r="AC168" s="954"/>
      <c r="AD168" s="954"/>
      <c r="AE168" s="924"/>
      <c r="AF168" s="924"/>
      <c r="AG168" s="924"/>
      <c r="AH168" s="924"/>
      <c r="AI168" s="924"/>
      <c r="AJ168" s="924"/>
      <c r="AK168" s="924"/>
      <c r="AL168" s="924"/>
      <c r="AM168" s="924"/>
      <c r="AN168" s="924"/>
      <c r="AO168" s="924"/>
      <c r="AP168" s="924"/>
      <c r="AQ168" s="924"/>
      <c r="AR168" s="924"/>
      <c r="AS168" s="924"/>
      <c r="AT168" s="924"/>
      <c r="AU168" s="954"/>
      <c r="AV168" s="954"/>
      <c r="AW168" s="954"/>
      <c r="AX168" s="957"/>
      <c r="AY168" s="924"/>
      <c r="AZ168" s="924"/>
      <c r="BA168" s="924"/>
      <c r="BB168" s="924"/>
      <c r="BC168" s="924"/>
      <c r="BD168" s="924"/>
      <c r="BE168" s="924"/>
      <c r="BF168" s="924"/>
      <c r="BG168" s="955"/>
      <c r="BH168" s="924"/>
    </row>
    <row r="169" spans="1:60" ht="18" customHeight="1" x14ac:dyDescent="0.25">
      <c r="A169" s="1314"/>
      <c r="B169" s="954"/>
      <c r="C169" s="954"/>
      <c r="D169" s="954"/>
      <c r="E169" s="954"/>
      <c r="F169" s="954"/>
      <c r="G169" s="954"/>
      <c r="H169" s="954"/>
      <c r="I169" s="954"/>
      <c r="J169" s="954"/>
      <c r="K169" s="954"/>
      <c r="L169" s="954"/>
      <c r="M169" s="954"/>
      <c r="N169" s="954"/>
      <c r="O169" s="954"/>
      <c r="P169" s="954"/>
      <c r="Q169" s="954"/>
      <c r="R169" s="954"/>
      <c r="S169" s="954"/>
      <c r="T169" s="954"/>
      <c r="U169" s="954"/>
      <c r="V169" s="955"/>
      <c r="W169" s="954"/>
      <c r="X169" s="954"/>
      <c r="Y169" s="954"/>
      <c r="Z169" s="954"/>
      <c r="AA169" s="954"/>
      <c r="AB169" s="956"/>
      <c r="AC169" s="954"/>
      <c r="AD169" s="954"/>
      <c r="AE169" s="924"/>
      <c r="AF169" s="924"/>
      <c r="AG169" s="924"/>
      <c r="AH169" s="924"/>
      <c r="AI169" s="924"/>
      <c r="AJ169" s="924"/>
      <c r="AK169" s="924"/>
      <c r="AL169" s="924"/>
      <c r="AM169" s="924"/>
      <c r="AN169" s="924"/>
      <c r="AO169" s="924"/>
      <c r="AP169" s="924"/>
      <c r="AQ169" s="924"/>
      <c r="AR169" s="924"/>
      <c r="AS169" s="924"/>
      <c r="AT169" s="924"/>
      <c r="AU169" s="954"/>
      <c r="AV169" s="954"/>
      <c r="AW169" s="954"/>
      <c r="AX169" s="957"/>
      <c r="AY169" s="924"/>
      <c r="AZ169" s="924"/>
      <c r="BA169" s="924"/>
      <c r="BB169" s="924"/>
      <c r="BC169" s="924"/>
      <c r="BD169" s="924"/>
      <c r="BE169" s="924"/>
      <c r="BF169" s="924"/>
      <c r="BG169" s="955"/>
      <c r="BH169" s="924"/>
    </row>
    <row r="170" spans="1:60" ht="18" customHeight="1" x14ac:dyDescent="0.25">
      <c r="A170" s="1314"/>
      <c r="B170" s="954"/>
      <c r="C170" s="954"/>
      <c r="D170" s="954"/>
      <c r="E170" s="954"/>
      <c r="F170" s="954"/>
      <c r="G170" s="954"/>
      <c r="H170" s="954"/>
      <c r="I170" s="954"/>
      <c r="J170" s="954"/>
      <c r="K170" s="954"/>
      <c r="L170" s="954"/>
      <c r="M170" s="954"/>
      <c r="N170" s="954"/>
      <c r="O170" s="954"/>
      <c r="P170" s="954"/>
      <c r="Q170" s="954"/>
      <c r="R170" s="954"/>
      <c r="S170" s="954"/>
      <c r="T170" s="954"/>
      <c r="U170" s="954"/>
      <c r="V170" s="955"/>
      <c r="W170" s="954"/>
      <c r="X170" s="954"/>
      <c r="Y170" s="954"/>
      <c r="Z170" s="954"/>
      <c r="AA170" s="954"/>
      <c r="AB170" s="956"/>
      <c r="AC170" s="954"/>
      <c r="AD170" s="954"/>
      <c r="AE170" s="924"/>
      <c r="AF170" s="924"/>
      <c r="AG170" s="924"/>
      <c r="AH170" s="924"/>
      <c r="AI170" s="924"/>
      <c r="AJ170" s="924"/>
      <c r="AK170" s="924"/>
      <c r="AL170" s="924"/>
      <c r="AM170" s="924"/>
      <c r="AN170" s="924"/>
      <c r="AO170" s="924"/>
      <c r="AP170" s="924"/>
      <c r="AQ170" s="924"/>
      <c r="AR170" s="924"/>
      <c r="AS170" s="924"/>
      <c r="AT170" s="924"/>
      <c r="AU170" s="954"/>
      <c r="AV170" s="954"/>
      <c r="AW170" s="954"/>
      <c r="AX170" s="957"/>
      <c r="AY170" s="924"/>
      <c r="AZ170" s="924"/>
      <c r="BA170" s="924"/>
      <c r="BB170" s="924"/>
      <c r="BC170" s="924"/>
      <c r="BD170" s="924"/>
      <c r="BE170" s="924"/>
      <c r="BF170" s="924"/>
      <c r="BG170" s="955"/>
      <c r="BH170" s="924"/>
    </row>
    <row r="171" spans="1:60" ht="18" customHeight="1" x14ac:dyDescent="0.25">
      <c r="A171" s="1314"/>
      <c r="B171" s="954"/>
      <c r="C171" s="954"/>
      <c r="D171" s="954"/>
      <c r="E171" s="954"/>
      <c r="F171" s="954"/>
      <c r="G171" s="954"/>
      <c r="H171" s="954"/>
      <c r="I171" s="954"/>
      <c r="J171" s="954"/>
      <c r="K171" s="954"/>
      <c r="L171" s="954"/>
      <c r="M171" s="954"/>
      <c r="N171" s="954"/>
      <c r="O171" s="954"/>
      <c r="P171" s="954"/>
      <c r="Q171" s="954"/>
      <c r="R171" s="954"/>
      <c r="S171" s="954"/>
      <c r="T171" s="954"/>
      <c r="U171" s="954"/>
      <c r="V171" s="955"/>
      <c r="W171" s="954"/>
      <c r="X171" s="954"/>
      <c r="Y171" s="954"/>
      <c r="Z171" s="954"/>
      <c r="AA171" s="954"/>
      <c r="AB171" s="956"/>
      <c r="AC171" s="954"/>
      <c r="AD171" s="954"/>
      <c r="AE171" s="924"/>
      <c r="AF171" s="924"/>
      <c r="AG171" s="924"/>
      <c r="AH171" s="924"/>
      <c r="AI171" s="924"/>
      <c r="AJ171" s="924"/>
      <c r="AK171" s="924"/>
      <c r="AL171" s="924"/>
      <c r="AM171" s="924"/>
      <c r="AN171" s="924"/>
      <c r="AO171" s="924"/>
      <c r="AP171" s="924"/>
      <c r="AQ171" s="924"/>
      <c r="AR171" s="924"/>
      <c r="AS171" s="924"/>
      <c r="AT171" s="924"/>
      <c r="AU171" s="954"/>
      <c r="AV171" s="954"/>
      <c r="AW171" s="954"/>
      <c r="AX171" s="957"/>
      <c r="AY171" s="924"/>
      <c r="AZ171" s="924"/>
      <c r="BA171" s="924"/>
      <c r="BB171" s="924"/>
      <c r="BC171" s="924"/>
      <c r="BD171" s="924"/>
      <c r="BE171" s="924"/>
      <c r="BF171" s="924"/>
      <c r="BG171" s="955"/>
      <c r="BH171" s="924"/>
    </row>
    <row r="172" spans="1:60" ht="18" customHeight="1" x14ac:dyDescent="0.25">
      <c r="A172" s="1314"/>
      <c r="B172" s="954"/>
      <c r="C172" s="954"/>
      <c r="D172" s="954"/>
      <c r="E172" s="954"/>
      <c r="F172" s="954"/>
      <c r="G172" s="954"/>
      <c r="H172" s="954"/>
      <c r="I172" s="954"/>
      <c r="J172" s="954"/>
      <c r="K172" s="954"/>
      <c r="L172" s="954"/>
      <c r="M172" s="954"/>
      <c r="N172" s="954"/>
      <c r="O172" s="954"/>
      <c r="P172" s="954"/>
      <c r="Q172" s="954"/>
      <c r="R172" s="954"/>
      <c r="S172" s="954"/>
      <c r="T172" s="954"/>
      <c r="U172" s="954"/>
      <c r="V172" s="955"/>
      <c r="W172" s="954"/>
      <c r="X172" s="954"/>
      <c r="Y172" s="954"/>
      <c r="Z172" s="954"/>
      <c r="AA172" s="954"/>
      <c r="AB172" s="956"/>
      <c r="AC172" s="954"/>
      <c r="AD172" s="954"/>
      <c r="AE172" s="924"/>
      <c r="AF172" s="924"/>
      <c r="AG172" s="924"/>
      <c r="AH172" s="924"/>
      <c r="AI172" s="924"/>
      <c r="AJ172" s="924"/>
      <c r="AK172" s="924"/>
      <c r="AL172" s="924"/>
      <c r="AM172" s="924"/>
      <c r="AN172" s="924"/>
      <c r="AO172" s="924"/>
      <c r="AP172" s="924"/>
      <c r="AQ172" s="924"/>
      <c r="AR172" s="924"/>
      <c r="AS172" s="924"/>
      <c r="AT172" s="924"/>
      <c r="AU172" s="954"/>
      <c r="AV172" s="954"/>
      <c r="AW172" s="954"/>
      <c r="AX172" s="957"/>
      <c r="AY172" s="924"/>
      <c r="AZ172" s="924"/>
      <c r="BA172" s="924"/>
      <c r="BB172" s="924"/>
      <c r="BC172" s="924"/>
      <c r="BD172" s="924"/>
      <c r="BE172" s="924"/>
      <c r="BF172" s="924"/>
      <c r="BG172" s="955"/>
      <c r="BH172" s="924"/>
    </row>
    <row r="173" spans="1:60" ht="18" customHeight="1" x14ac:dyDescent="0.25">
      <c r="A173" s="1314"/>
      <c r="B173" s="954"/>
      <c r="C173" s="954"/>
      <c r="D173" s="954"/>
      <c r="E173" s="954"/>
      <c r="F173" s="954"/>
      <c r="G173" s="954"/>
      <c r="H173" s="954"/>
      <c r="I173" s="954"/>
      <c r="J173" s="954"/>
      <c r="K173" s="954"/>
      <c r="L173" s="954"/>
      <c r="M173" s="954"/>
      <c r="N173" s="954"/>
      <c r="O173" s="954"/>
      <c r="P173" s="954"/>
      <c r="Q173" s="954"/>
      <c r="R173" s="954"/>
      <c r="S173" s="954"/>
      <c r="T173" s="954"/>
      <c r="U173" s="954"/>
      <c r="V173" s="955"/>
      <c r="W173" s="954"/>
      <c r="X173" s="954"/>
      <c r="Y173" s="954"/>
      <c r="Z173" s="954"/>
      <c r="AA173" s="954"/>
      <c r="AB173" s="956"/>
      <c r="AC173" s="954"/>
      <c r="AD173" s="954"/>
      <c r="AE173" s="924"/>
      <c r="AF173" s="924"/>
      <c r="AG173" s="924"/>
      <c r="AH173" s="924"/>
      <c r="AI173" s="924"/>
      <c r="AJ173" s="924"/>
      <c r="AK173" s="924"/>
      <c r="AL173" s="924"/>
      <c r="AM173" s="924"/>
      <c r="AN173" s="924"/>
      <c r="AO173" s="924"/>
      <c r="AP173" s="924"/>
      <c r="AQ173" s="924"/>
      <c r="AR173" s="924"/>
      <c r="AS173" s="924"/>
      <c r="AT173" s="924"/>
      <c r="AU173" s="954"/>
      <c r="AV173" s="954"/>
      <c r="AW173" s="954"/>
      <c r="AX173" s="957"/>
      <c r="AY173" s="924"/>
      <c r="AZ173" s="924"/>
      <c r="BA173" s="924"/>
      <c r="BB173" s="924"/>
      <c r="BC173" s="924"/>
      <c r="BD173" s="924"/>
      <c r="BE173" s="924"/>
      <c r="BF173" s="924"/>
      <c r="BG173" s="955"/>
      <c r="BH173" s="924"/>
    </row>
    <row r="174" spans="1:60" ht="18" customHeight="1" x14ac:dyDescent="0.25">
      <c r="A174" s="1314"/>
      <c r="B174" s="954"/>
      <c r="C174" s="954"/>
      <c r="D174" s="954"/>
      <c r="E174" s="954"/>
      <c r="F174" s="954"/>
      <c r="G174" s="954"/>
      <c r="H174" s="954"/>
      <c r="I174" s="954"/>
      <c r="J174" s="954"/>
      <c r="K174" s="954"/>
      <c r="L174" s="954"/>
      <c r="M174" s="954"/>
      <c r="N174" s="954"/>
      <c r="O174" s="954"/>
      <c r="P174" s="954"/>
      <c r="Q174" s="954"/>
      <c r="R174" s="954"/>
      <c r="S174" s="954"/>
      <c r="T174" s="954"/>
      <c r="U174" s="954"/>
      <c r="V174" s="955"/>
      <c r="W174" s="954"/>
      <c r="X174" s="954"/>
      <c r="Y174" s="954"/>
      <c r="Z174" s="954"/>
      <c r="AA174" s="954"/>
      <c r="AB174" s="956"/>
      <c r="AC174" s="954"/>
      <c r="AD174" s="954"/>
      <c r="AE174" s="924"/>
      <c r="AF174" s="924"/>
      <c r="AG174" s="924"/>
      <c r="AH174" s="924"/>
      <c r="AI174" s="924"/>
      <c r="AJ174" s="924"/>
      <c r="AK174" s="924"/>
      <c r="AL174" s="924"/>
      <c r="AM174" s="924"/>
      <c r="AN174" s="924"/>
      <c r="AO174" s="924"/>
      <c r="AP174" s="924"/>
      <c r="AQ174" s="924"/>
      <c r="AR174" s="924"/>
      <c r="AS174" s="924"/>
      <c r="AT174" s="924"/>
      <c r="AU174" s="954"/>
      <c r="AV174" s="954"/>
      <c r="AW174" s="954"/>
      <c r="AX174" s="957"/>
      <c r="AY174" s="924"/>
      <c r="AZ174" s="924"/>
      <c r="BA174" s="924"/>
      <c r="BB174" s="924"/>
      <c r="BC174" s="924"/>
      <c r="BD174" s="924"/>
      <c r="BE174" s="924"/>
      <c r="BF174" s="924"/>
      <c r="BG174" s="955"/>
      <c r="BH174" s="924"/>
    </row>
    <row r="175" spans="1:60" ht="18" customHeight="1" x14ac:dyDescent="0.25">
      <c r="A175" s="1314"/>
      <c r="B175" s="954"/>
      <c r="C175" s="954"/>
      <c r="D175" s="954"/>
      <c r="E175" s="954"/>
      <c r="F175" s="954"/>
      <c r="G175" s="954"/>
      <c r="H175" s="954"/>
      <c r="I175" s="954"/>
      <c r="J175" s="954"/>
      <c r="K175" s="954"/>
      <c r="L175" s="954"/>
      <c r="M175" s="954"/>
      <c r="N175" s="954"/>
      <c r="O175" s="954"/>
      <c r="P175" s="954"/>
      <c r="Q175" s="954"/>
      <c r="R175" s="954"/>
      <c r="S175" s="954"/>
      <c r="T175" s="954"/>
      <c r="U175" s="954"/>
      <c r="V175" s="955"/>
      <c r="W175" s="954"/>
      <c r="X175" s="954"/>
      <c r="Y175" s="954"/>
      <c r="Z175" s="954"/>
      <c r="AA175" s="954"/>
      <c r="AB175" s="956"/>
      <c r="AC175" s="954"/>
      <c r="AD175" s="954"/>
      <c r="AE175" s="924"/>
      <c r="AF175" s="924"/>
      <c r="AG175" s="924"/>
      <c r="AH175" s="924"/>
      <c r="AI175" s="924"/>
      <c r="AJ175" s="924"/>
      <c r="AK175" s="924"/>
      <c r="AL175" s="924"/>
      <c r="AM175" s="924"/>
      <c r="AN175" s="924"/>
      <c r="AO175" s="924"/>
      <c r="AP175" s="924"/>
      <c r="AQ175" s="924"/>
      <c r="AR175" s="924"/>
      <c r="AS175" s="924"/>
      <c r="AT175" s="924"/>
      <c r="AU175" s="954"/>
      <c r="AV175" s="954"/>
      <c r="AW175" s="954"/>
      <c r="AX175" s="957"/>
      <c r="AY175" s="924"/>
      <c r="AZ175" s="924"/>
      <c r="BA175" s="924"/>
      <c r="BB175" s="924"/>
      <c r="BC175" s="924"/>
      <c r="BD175" s="924"/>
      <c r="BE175" s="924"/>
      <c r="BF175" s="924"/>
      <c r="BG175" s="955"/>
      <c r="BH175" s="924"/>
    </row>
    <row r="176" spans="1:60" ht="18" customHeight="1" x14ac:dyDescent="0.25">
      <c r="A176" s="1314"/>
      <c r="B176" s="954"/>
      <c r="C176" s="954"/>
      <c r="D176" s="954"/>
      <c r="E176" s="954"/>
      <c r="F176" s="954"/>
      <c r="G176" s="954"/>
      <c r="H176" s="954"/>
      <c r="I176" s="954"/>
      <c r="J176" s="954"/>
      <c r="K176" s="954"/>
      <c r="L176" s="954"/>
      <c r="M176" s="954"/>
      <c r="N176" s="954"/>
      <c r="O176" s="954"/>
      <c r="P176" s="954"/>
      <c r="Q176" s="954"/>
      <c r="R176" s="954"/>
      <c r="S176" s="954"/>
      <c r="T176" s="954"/>
      <c r="U176" s="954"/>
      <c r="V176" s="955"/>
      <c r="W176" s="954"/>
      <c r="X176" s="954"/>
      <c r="Y176" s="954"/>
      <c r="Z176" s="954"/>
      <c r="AA176" s="954"/>
      <c r="AB176" s="956"/>
      <c r="AC176" s="954"/>
      <c r="AD176" s="954"/>
      <c r="AE176" s="924"/>
      <c r="AF176" s="924"/>
      <c r="AG176" s="924"/>
      <c r="AH176" s="924"/>
      <c r="AI176" s="924"/>
      <c r="AJ176" s="924"/>
      <c r="AK176" s="924"/>
      <c r="AL176" s="924"/>
      <c r="AM176" s="924"/>
      <c r="AN176" s="924"/>
      <c r="AO176" s="924"/>
      <c r="AP176" s="924"/>
      <c r="AQ176" s="924"/>
      <c r="AR176" s="924"/>
      <c r="AS176" s="924"/>
      <c r="AT176" s="924"/>
      <c r="AU176" s="954"/>
      <c r="AV176" s="954"/>
      <c r="AW176" s="954"/>
      <c r="AX176" s="957"/>
      <c r="AY176" s="924"/>
      <c r="AZ176" s="924"/>
      <c r="BA176" s="924"/>
      <c r="BB176" s="924"/>
      <c r="BC176" s="924"/>
      <c r="BD176" s="924"/>
      <c r="BE176" s="924"/>
      <c r="BF176" s="924"/>
      <c r="BG176" s="955"/>
      <c r="BH176" s="924"/>
    </row>
    <row r="177" spans="1:60" ht="18" customHeight="1" x14ac:dyDescent="0.25">
      <c r="A177" s="1314"/>
      <c r="B177" s="954"/>
      <c r="C177" s="954"/>
      <c r="D177" s="954"/>
      <c r="E177" s="954"/>
      <c r="F177" s="954"/>
      <c r="G177" s="954"/>
      <c r="H177" s="954"/>
      <c r="I177" s="954"/>
      <c r="J177" s="954"/>
      <c r="K177" s="954"/>
      <c r="L177" s="954"/>
      <c r="M177" s="954"/>
      <c r="N177" s="954"/>
      <c r="O177" s="954"/>
      <c r="P177" s="954"/>
      <c r="Q177" s="954"/>
      <c r="R177" s="954"/>
      <c r="S177" s="954"/>
      <c r="T177" s="954"/>
      <c r="U177" s="954"/>
      <c r="V177" s="955"/>
      <c r="W177" s="954"/>
      <c r="X177" s="954"/>
      <c r="Y177" s="954"/>
      <c r="Z177" s="954"/>
      <c r="AA177" s="954"/>
      <c r="AB177" s="956"/>
      <c r="AC177" s="954"/>
      <c r="AD177" s="954"/>
      <c r="AE177" s="924"/>
      <c r="AF177" s="924"/>
      <c r="AG177" s="924"/>
      <c r="AH177" s="924"/>
      <c r="AI177" s="924"/>
      <c r="AJ177" s="924"/>
      <c r="AK177" s="924"/>
      <c r="AL177" s="924"/>
      <c r="AM177" s="924"/>
      <c r="AN177" s="924"/>
      <c r="AO177" s="924"/>
      <c r="AP177" s="924"/>
      <c r="AQ177" s="924"/>
      <c r="AR177" s="924"/>
      <c r="AS177" s="924"/>
      <c r="AT177" s="924"/>
      <c r="AU177" s="954"/>
      <c r="AV177" s="954"/>
      <c r="AW177" s="954"/>
      <c r="AX177" s="957"/>
      <c r="AY177" s="924"/>
      <c r="AZ177" s="924"/>
      <c r="BA177" s="924"/>
      <c r="BB177" s="924"/>
      <c r="BC177" s="924"/>
      <c r="BD177" s="924"/>
      <c r="BE177" s="924"/>
      <c r="BF177" s="924"/>
      <c r="BG177" s="955"/>
      <c r="BH177" s="924"/>
    </row>
    <row r="178" spans="1:60" ht="18" customHeight="1" x14ac:dyDescent="0.25">
      <c r="A178" s="1314"/>
      <c r="B178" s="954"/>
      <c r="C178" s="954"/>
      <c r="D178" s="954"/>
      <c r="E178" s="954"/>
      <c r="F178" s="954"/>
      <c r="G178" s="954"/>
      <c r="H178" s="954"/>
      <c r="I178" s="954"/>
      <c r="J178" s="954"/>
      <c r="K178" s="954"/>
      <c r="L178" s="954"/>
      <c r="M178" s="954"/>
      <c r="N178" s="954"/>
      <c r="O178" s="954"/>
      <c r="P178" s="954"/>
      <c r="Q178" s="954"/>
      <c r="R178" s="954"/>
      <c r="S178" s="954"/>
      <c r="T178" s="954"/>
      <c r="U178" s="954"/>
      <c r="V178" s="955"/>
      <c r="W178" s="954"/>
      <c r="X178" s="954"/>
      <c r="Y178" s="954"/>
      <c r="Z178" s="954"/>
      <c r="AA178" s="954"/>
      <c r="AB178" s="956"/>
      <c r="AC178" s="954"/>
      <c r="AD178" s="954"/>
      <c r="AE178" s="924"/>
      <c r="AF178" s="924"/>
      <c r="AG178" s="924"/>
      <c r="AH178" s="924"/>
      <c r="AI178" s="924"/>
      <c r="AJ178" s="924"/>
      <c r="AK178" s="924"/>
      <c r="AL178" s="924"/>
      <c r="AM178" s="924"/>
      <c r="AN178" s="924"/>
      <c r="AO178" s="924"/>
      <c r="AP178" s="924"/>
      <c r="AQ178" s="924"/>
      <c r="AR178" s="924"/>
      <c r="AS178" s="924"/>
      <c r="AT178" s="924"/>
      <c r="AU178" s="954"/>
      <c r="AV178" s="954"/>
      <c r="AW178" s="954"/>
      <c r="AX178" s="957"/>
      <c r="AY178" s="924"/>
      <c r="AZ178" s="924"/>
      <c r="BA178" s="924"/>
      <c r="BB178" s="924"/>
      <c r="BC178" s="924"/>
      <c r="BD178" s="924"/>
      <c r="BE178" s="924"/>
      <c r="BF178" s="924"/>
      <c r="BG178" s="955"/>
      <c r="BH178" s="924"/>
    </row>
    <row r="179" spans="1:60" ht="18" customHeight="1" x14ac:dyDescent="0.25">
      <c r="A179" s="1314"/>
      <c r="B179" s="954"/>
      <c r="C179" s="954"/>
      <c r="D179" s="954"/>
      <c r="E179" s="954"/>
      <c r="F179" s="954"/>
      <c r="G179" s="954"/>
      <c r="H179" s="954"/>
      <c r="I179" s="954"/>
      <c r="J179" s="954"/>
      <c r="K179" s="954"/>
      <c r="L179" s="954"/>
      <c r="M179" s="954"/>
      <c r="N179" s="954"/>
      <c r="O179" s="954"/>
      <c r="P179" s="954"/>
      <c r="Q179" s="954"/>
      <c r="R179" s="954"/>
      <c r="S179" s="954"/>
      <c r="T179" s="954"/>
      <c r="U179" s="954"/>
      <c r="V179" s="955"/>
      <c r="W179" s="954"/>
      <c r="X179" s="954"/>
      <c r="Y179" s="954"/>
      <c r="Z179" s="954"/>
      <c r="AA179" s="954"/>
      <c r="AB179" s="956"/>
      <c r="AC179" s="954"/>
      <c r="AD179" s="954"/>
      <c r="AE179" s="924"/>
      <c r="AF179" s="924"/>
      <c r="AG179" s="924"/>
      <c r="AH179" s="924"/>
      <c r="AI179" s="924"/>
      <c r="AJ179" s="924"/>
      <c r="AK179" s="924"/>
      <c r="AL179" s="924"/>
      <c r="AM179" s="924"/>
      <c r="AN179" s="924"/>
      <c r="AO179" s="924"/>
      <c r="AP179" s="924"/>
      <c r="AQ179" s="924"/>
      <c r="AR179" s="924"/>
      <c r="AS179" s="924"/>
      <c r="AT179" s="924"/>
      <c r="AU179" s="954"/>
      <c r="AV179" s="954"/>
      <c r="AW179" s="954"/>
      <c r="AX179" s="957"/>
      <c r="AY179" s="924"/>
      <c r="AZ179" s="924"/>
      <c r="BA179" s="924"/>
      <c r="BB179" s="924"/>
      <c r="BC179" s="924"/>
      <c r="BD179" s="924"/>
      <c r="BE179" s="924"/>
      <c r="BF179" s="924"/>
      <c r="BG179" s="955"/>
      <c r="BH179" s="924"/>
    </row>
    <row r="180" spans="1:60" ht="18" customHeight="1" x14ac:dyDescent="0.25">
      <c r="A180" s="1314"/>
      <c r="B180" s="954"/>
      <c r="C180" s="954"/>
      <c r="D180" s="954"/>
      <c r="E180" s="954"/>
      <c r="F180" s="954"/>
      <c r="G180" s="954"/>
      <c r="H180" s="954"/>
      <c r="I180" s="954"/>
      <c r="J180" s="954"/>
      <c r="K180" s="954"/>
      <c r="L180" s="954"/>
      <c r="M180" s="954"/>
      <c r="N180" s="954"/>
      <c r="O180" s="954"/>
      <c r="P180" s="954"/>
      <c r="Q180" s="954"/>
      <c r="R180" s="954"/>
      <c r="S180" s="954"/>
      <c r="T180" s="954"/>
      <c r="U180" s="954"/>
      <c r="V180" s="955"/>
      <c r="W180" s="954"/>
      <c r="X180" s="954"/>
      <c r="Y180" s="954"/>
      <c r="Z180" s="954"/>
      <c r="AA180" s="954"/>
      <c r="AB180" s="956"/>
      <c r="AC180" s="954"/>
      <c r="AD180" s="954"/>
      <c r="AE180" s="924"/>
      <c r="AF180" s="924"/>
      <c r="AG180" s="924"/>
      <c r="AH180" s="924"/>
      <c r="AI180" s="924"/>
      <c r="AJ180" s="924"/>
      <c r="AK180" s="924"/>
      <c r="AL180" s="924"/>
      <c r="AM180" s="924"/>
      <c r="AN180" s="924"/>
      <c r="AO180" s="924"/>
      <c r="AP180" s="924"/>
      <c r="AQ180" s="924"/>
      <c r="AR180" s="924"/>
      <c r="AS180" s="924"/>
      <c r="AT180" s="924"/>
      <c r="AU180" s="954"/>
      <c r="AV180" s="954"/>
      <c r="AW180" s="954"/>
      <c r="AX180" s="957"/>
      <c r="AY180" s="924"/>
      <c r="AZ180" s="924"/>
      <c r="BA180" s="924"/>
      <c r="BB180" s="924"/>
      <c r="BC180" s="924"/>
      <c r="BD180" s="924"/>
      <c r="BE180" s="924"/>
      <c r="BF180" s="924"/>
      <c r="BG180" s="955"/>
      <c r="BH180" s="924"/>
    </row>
    <row r="181" spans="1:60" ht="18" customHeight="1" x14ac:dyDescent="0.25">
      <c r="A181" s="1314"/>
      <c r="B181" s="954"/>
      <c r="C181" s="954"/>
      <c r="D181" s="954"/>
      <c r="E181" s="954"/>
      <c r="F181" s="954"/>
      <c r="G181" s="954"/>
      <c r="H181" s="954"/>
      <c r="I181" s="954"/>
      <c r="J181" s="954"/>
      <c r="K181" s="954"/>
      <c r="L181" s="954"/>
      <c r="M181" s="954"/>
      <c r="N181" s="954"/>
      <c r="O181" s="954"/>
      <c r="P181" s="954"/>
      <c r="Q181" s="954"/>
      <c r="R181" s="954"/>
      <c r="S181" s="954"/>
      <c r="T181" s="954"/>
      <c r="U181" s="954"/>
      <c r="V181" s="955"/>
      <c r="W181" s="954"/>
      <c r="X181" s="954"/>
      <c r="Y181" s="954"/>
      <c r="Z181" s="954"/>
      <c r="AA181" s="954"/>
      <c r="AB181" s="956"/>
      <c r="AC181" s="954"/>
      <c r="AD181" s="954"/>
      <c r="AE181" s="924"/>
      <c r="AF181" s="924"/>
      <c r="AG181" s="924"/>
      <c r="AH181" s="924"/>
      <c r="AI181" s="924"/>
      <c r="AJ181" s="924"/>
      <c r="AK181" s="924"/>
      <c r="AL181" s="924"/>
      <c r="AM181" s="924"/>
      <c r="AN181" s="924"/>
      <c r="AO181" s="924"/>
      <c r="AP181" s="924"/>
      <c r="AQ181" s="924"/>
      <c r="AR181" s="924"/>
      <c r="AS181" s="924"/>
      <c r="AT181" s="924"/>
      <c r="AU181" s="954"/>
      <c r="AV181" s="954"/>
      <c r="AW181" s="954"/>
      <c r="AX181" s="957"/>
      <c r="AY181" s="924"/>
      <c r="AZ181" s="924"/>
      <c r="BA181" s="924"/>
      <c r="BB181" s="924"/>
      <c r="BC181" s="924"/>
      <c r="BD181" s="924"/>
      <c r="BE181" s="924"/>
      <c r="BF181" s="924"/>
      <c r="BG181" s="955"/>
      <c r="BH181" s="924"/>
    </row>
    <row r="182" spans="1:60" ht="18" customHeight="1" x14ac:dyDescent="0.25">
      <c r="A182" s="1314"/>
      <c r="B182" s="954"/>
      <c r="C182" s="954"/>
      <c r="D182" s="954"/>
      <c r="E182" s="954"/>
      <c r="F182" s="954"/>
      <c r="G182" s="954"/>
      <c r="H182" s="954"/>
      <c r="I182" s="954"/>
      <c r="J182" s="954"/>
      <c r="K182" s="954"/>
      <c r="L182" s="954"/>
      <c r="M182" s="954"/>
      <c r="N182" s="954"/>
      <c r="O182" s="954"/>
      <c r="P182" s="954"/>
      <c r="Q182" s="954"/>
      <c r="R182" s="954"/>
      <c r="S182" s="954"/>
      <c r="T182" s="954"/>
      <c r="U182" s="954"/>
      <c r="V182" s="955"/>
      <c r="W182" s="954"/>
      <c r="X182" s="954"/>
      <c r="Y182" s="954"/>
      <c r="Z182" s="954"/>
      <c r="AA182" s="954"/>
      <c r="AB182" s="956"/>
      <c r="AC182" s="954"/>
      <c r="AD182" s="954"/>
      <c r="AE182" s="924"/>
      <c r="AF182" s="924"/>
      <c r="AG182" s="924"/>
      <c r="AH182" s="924"/>
      <c r="AI182" s="924"/>
      <c r="AJ182" s="924"/>
      <c r="AK182" s="924"/>
      <c r="AL182" s="924"/>
      <c r="AM182" s="924"/>
      <c r="AN182" s="924"/>
      <c r="AO182" s="924"/>
      <c r="AP182" s="924"/>
      <c r="AQ182" s="924"/>
      <c r="AR182" s="924"/>
      <c r="AS182" s="924"/>
      <c r="AT182" s="924"/>
      <c r="AU182" s="954"/>
      <c r="AV182" s="954"/>
      <c r="AW182" s="954"/>
      <c r="AX182" s="957"/>
      <c r="AY182" s="924"/>
      <c r="AZ182" s="924"/>
      <c r="BA182" s="924"/>
      <c r="BB182" s="924"/>
      <c r="BC182" s="924"/>
      <c r="BD182" s="924"/>
      <c r="BE182" s="924"/>
      <c r="BF182" s="924"/>
      <c r="BG182" s="955"/>
      <c r="BH182" s="924"/>
    </row>
    <row r="183" spans="1:60" ht="18" customHeight="1" x14ac:dyDescent="0.25">
      <c r="A183" s="1314"/>
      <c r="B183" s="954"/>
      <c r="C183" s="954"/>
      <c r="D183" s="954"/>
      <c r="E183" s="954"/>
      <c r="F183" s="954"/>
      <c r="G183" s="954"/>
      <c r="H183" s="954"/>
      <c r="I183" s="954"/>
      <c r="J183" s="954"/>
      <c r="K183" s="954"/>
      <c r="L183" s="954"/>
      <c r="M183" s="954"/>
      <c r="N183" s="954"/>
      <c r="O183" s="954"/>
      <c r="P183" s="954"/>
      <c r="Q183" s="954"/>
      <c r="R183" s="954"/>
      <c r="S183" s="954"/>
      <c r="T183" s="954"/>
      <c r="U183" s="954"/>
      <c r="V183" s="955"/>
      <c r="W183" s="954"/>
      <c r="X183" s="954"/>
      <c r="Y183" s="954"/>
      <c r="Z183" s="954"/>
      <c r="AA183" s="954"/>
      <c r="AB183" s="956"/>
      <c r="AC183" s="954"/>
      <c r="AD183" s="954"/>
      <c r="AE183" s="924"/>
      <c r="AF183" s="924"/>
      <c r="AG183" s="924"/>
      <c r="AH183" s="924"/>
      <c r="AI183" s="924"/>
      <c r="AJ183" s="924"/>
      <c r="AK183" s="924"/>
      <c r="AL183" s="924"/>
      <c r="AM183" s="924"/>
      <c r="AN183" s="924"/>
      <c r="AO183" s="924"/>
      <c r="AP183" s="924"/>
      <c r="AQ183" s="924"/>
      <c r="AR183" s="924"/>
      <c r="AS183" s="924"/>
      <c r="AT183" s="924"/>
      <c r="AU183" s="954"/>
      <c r="AV183" s="954"/>
      <c r="AW183" s="954"/>
      <c r="AX183" s="957"/>
      <c r="AY183" s="924"/>
      <c r="AZ183" s="924"/>
      <c r="BA183" s="924"/>
      <c r="BB183" s="924"/>
      <c r="BC183" s="924"/>
      <c r="BD183" s="924"/>
      <c r="BE183" s="924"/>
      <c r="BF183" s="924"/>
      <c r="BG183" s="955"/>
      <c r="BH183" s="924"/>
    </row>
    <row r="184" spans="1:60" ht="18" customHeight="1" x14ac:dyDescent="0.25">
      <c r="A184" s="1314"/>
      <c r="B184" s="954"/>
      <c r="C184" s="954"/>
      <c r="D184" s="954"/>
      <c r="E184" s="954"/>
      <c r="F184" s="954"/>
      <c r="G184" s="954"/>
      <c r="H184" s="954"/>
      <c r="I184" s="954"/>
      <c r="J184" s="954"/>
      <c r="K184" s="954"/>
      <c r="L184" s="954"/>
      <c r="M184" s="954"/>
      <c r="N184" s="954"/>
      <c r="O184" s="954"/>
      <c r="P184" s="954"/>
      <c r="Q184" s="954"/>
      <c r="R184" s="954"/>
      <c r="S184" s="954"/>
      <c r="T184" s="954"/>
      <c r="U184" s="954"/>
      <c r="V184" s="955"/>
      <c r="W184" s="954"/>
      <c r="X184" s="954"/>
      <c r="Y184" s="954"/>
      <c r="Z184" s="954"/>
      <c r="AA184" s="954"/>
      <c r="AB184" s="956"/>
      <c r="AC184" s="954"/>
      <c r="AD184" s="954"/>
      <c r="AE184" s="924"/>
      <c r="AF184" s="924"/>
      <c r="AG184" s="924"/>
      <c r="AH184" s="924"/>
      <c r="AI184" s="924"/>
      <c r="AJ184" s="924"/>
      <c r="AK184" s="924"/>
      <c r="AL184" s="924"/>
      <c r="AM184" s="924"/>
      <c r="AN184" s="924"/>
      <c r="AO184" s="924"/>
      <c r="AP184" s="924"/>
      <c r="AQ184" s="924"/>
      <c r="AR184" s="924"/>
      <c r="AS184" s="924"/>
      <c r="AT184" s="924"/>
      <c r="AU184" s="954"/>
      <c r="AV184" s="954"/>
      <c r="AW184" s="954"/>
      <c r="AX184" s="957"/>
      <c r="AY184" s="924"/>
      <c r="AZ184" s="924"/>
      <c r="BA184" s="924"/>
      <c r="BB184" s="924"/>
      <c r="BC184" s="924"/>
      <c r="BD184" s="924"/>
      <c r="BE184" s="924"/>
      <c r="BF184" s="924"/>
      <c r="BG184" s="955"/>
      <c r="BH184" s="924"/>
    </row>
    <row r="185" spans="1:60" ht="18" customHeight="1" x14ac:dyDescent="0.25">
      <c r="A185" s="1314"/>
      <c r="B185" s="954"/>
      <c r="C185" s="954"/>
      <c r="D185" s="954"/>
      <c r="E185" s="954"/>
      <c r="F185" s="954"/>
      <c r="G185" s="954"/>
      <c r="H185" s="954"/>
      <c r="I185" s="954"/>
      <c r="J185" s="954"/>
      <c r="K185" s="954"/>
      <c r="L185" s="954"/>
      <c r="M185" s="954"/>
      <c r="N185" s="954"/>
      <c r="O185" s="954"/>
      <c r="P185" s="954"/>
      <c r="Q185" s="954"/>
      <c r="R185" s="954"/>
      <c r="S185" s="954"/>
      <c r="T185" s="954"/>
      <c r="U185" s="954"/>
      <c r="V185" s="955"/>
      <c r="W185" s="954"/>
      <c r="X185" s="954"/>
      <c r="Y185" s="954"/>
      <c r="Z185" s="954"/>
      <c r="AA185" s="954"/>
      <c r="AB185" s="956"/>
      <c r="AC185" s="954"/>
      <c r="AD185" s="954"/>
      <c r="AE185" s="924"/>
      <c r="AF185" s="924"/>
      <c r="AG185" s="924"/>
      <c r="AH185" s="924"/>
      <c r="AI185" s="924"/>
      <c r="AJ185" s="924"/>
      <c r="AK185" s="924"/>
      <c r="AL185" s="924"/>
      <c r="AM185" s="924"/>
      <c r="AN185" s="924"/>
      <c r="AO185" s="924"/>
      <c r="AP185" s="924"/>
      <c r="AQ185" s="924"/>
      <c r="AR185" s="924"/>
      <c r="AS185" s="924"/>
      <c r="AT185" s="924"/>
      <c r="AU185" s="954"/>
      <c r="AV185" s="954"/>
      <c r="AW185" s="954"/>
      <c r="AX185" s="957"/>
      <c r="AY185" s="924"/>
      <c r="AZ185" s="924"/>
      <c r="BA185" s="924"/>
      <c r="BB185" s="924"/>
      <c r="BC185" s="924"/>
      <c r="BD185" s="924"/>
      <c r="BE185" s="924"/>
      <c r="BF185" s="924"/>
      <c r="BG185" s="955"/>
      <c r="BH185" s="924"/>
    </row>
    <row r="186" spans="1:60" ht="18" customHeight="1" x14ac:dyDescent="0.25">
      <c r="A186" s="1314"/>
      <c r="B186" s="954"/>
      <c r="C186" s="954"/>
      <c r="D186" s="954"/>
      <c r="E186" s="954"/>
      <c r="F186" s="954"/>
      <c r="G186" s="954"/>
      <c r="H186" s="954"/>
      <c r="I186" s="954"/>
      <c r="J186" s="954"/>
      <c r="K186" s="954"/>
      <c r="L186" s="954"/>
      <c r="M186" s="954"/>
      <c r="N186" s="954"/>
      <c r="O186" s="954"/>
      <c r="P186" s="954"/>
      <c r="Q186" s="954"/>
      <c r="R186" s="954"/>
      <c r="S186" s="954"/>
      <c r="T186" s="954"/>
      <c r="U186" s="954"/>
      <c r="V186" s="955"/>
      <c r="W186" s="954"/>
      <c r="X186" s="954"/>
      <c r="Y186" s="954"/>
      <c r="Z186" s="954"/>
      <c r="AA186" s="954"/>
      <c r="AB186" s="956"/>
      <c r="AC186" s="954"/>
      <c r="AD186" s="954"/>
      <c r="AE186" s="924"/>
      <c r="AF186" s="924"/>
      <c r="AG186" s="924"/>
      <c r="AH186" s="924"/>
      <c r="AI186" s="924"/>
      <c r="AJ186" s="924"/>
      <c r="AK186" s="924"/>
      <c r="AL186" s="924"/>
      <c r="AM186" s="924"/>
      <c r="AN186" s="924"/>
      <c r="AO186" s="924"/>
      <c r="AP186" s="924"/>
      <c r="AQ186" s="924"/>
      <c r="AR186" s="924"/>
      <c r="AS186" s="924"/>
      <c r="AT186" s="924"/>
      <c r="AU186" s="954"/>
      <c r="AV186" s="954"/>
      <c r="AW186" s="954"/>
      <c r="AX186" s="957"/>
      <c r="AY186" s="924"/>
      <c r="AZ186" s="924"/>
      <c r="BA186" s="924"/>
      <c r="BB186" s="924"/>
      <c r="BC186" s="924"/>
      <c r="BD186" s="924"/>
      <c r="BE186" s="924"/>
      <c r="BF186" s="924"/>
      <c r="BG186" s="955"/>
      <c r="BH186" s="924"/>
    </row>
    <row r="187" spans="1:60" ht="18" customHeight="1" x14ac:dyDescent="0.25">
      <c r="A187" s="1314"/>
      <c r="B187" s="954"/>
      <c r="C187" s="954"/>
      <c r="D187" s="954"/>
      <c r="E187" s="954"/>
      <c r="F187" s="954"/>
      <c r="G187" s="954"/>
      <c r="H187" s="954"/>
      <c r="I187" s="954"/>
      <c r="J187" s="954"/>
      <c r="K187" s="954"/>
      <c r="L187" s="954"/>
      <c r="M187" s="954"/>
      <c r="N187" s="954"/>
      <c r="O187" s="954"/>
      <c r="P187" s="954"/>
      <c r="Q187" s="954"/>
      <c r="R187" s="954"/>
      <c r="S187" s="954"/>
      <c r="T187" s="954"/>
      <c r="U187" s="954"/>
      <c r="V187" s="955"/>
      <c r="W187" s="954"/>
      <c r="X187" s="954"/>
      <c r="Y187" s="954"/>
      <c r="Z187" s="954"/>
      <c r="AA187" s="954"/>
      <c r="AB187" s="956"/>
      <c r="AC187" s="954"/>
      <c r="AD187" s="954"/>
      <c r="AE187" s="924"/>
      <c r="AF187" s="924"/>
      <c r="AG187" s="924"/>
      <c r="AH187" s="924"/>
      <c r="AI187" s="924"/>
      <c r="AJ187" s="924"/>
      <c r="AK187" s="924"/>
      <c r="AL187" s="924"/>
      <c r="AM187" s="924"/>
      <c r="AN187" s="924"/>
      <c r="AO187" s="924"/>
      <c r="AP187" s="924"/>
      <c r="AQ187" s="924"/>
      <c r="AR187" s="924"/>
      <c r="AS187" s="924"/>
      <c r="AT187" s="924"/>
      <c r="AU187" s="954"/>
      <c r="AV187" s="954"/>
      <c r="AW187" s="954"/>
      <c r="AX187" s="957"/>
      <c r="AY187" s="924"/>
      <c r="AZ187" s="924"/>
      <c r="BA187" s="924"/>
      <c r="BB187" s="924"/>
      <c r="BC187" s="924"/>
      <c r="BD187" s="924"/>
      <c r="BE187" s="924"/>
      <c r="BF187" s="924"/>
      <c r="BG187" s="955"/>
      <c r="BH187" s="924"/>
    </row>
    <row r="188" spans="1:60" ht="18" customHeight="1" x14ac:dyDescent="0.25">
      <c r="A188" s="1314"/>
      <c r="B188" s="954"/>
      <c r="C188" s="954"/>
      <c r="D188" s="954"/>
      <c r="E188" s="954"/>
      <c r="F188" s="954"/>
      <c r="G188" s="954"/>
      <c r="H188" s="954"/>
      <c r="I188" s="954"/>
      <c r="J188" s="954"/>
      <c r="K188" s="954"/>
      <c r="L188" s="954"/>
      <c r="M188" s="954"/>
      <c r="N188" s="954"/>
      <c r="O188" s="954"/>
      <c r="P188" s="954"/>
      <c r="Q188" s="954"/>
      <c r="R188" s="954"/>
      <c r="S188" s="954"/>
      <c r="T188" s="954"/>
      <c r="U188" s="954"/>
      <c r="V188" s="955"/>
      <c r="W188" s="954"/>
      <c r="X188" s="954"/>
      <c r="Y188" s="954"/>
      <c r="Z188" s="954"/>
      <c r="AA188" s="954"/>
      <c r="AB188" s="956"/>
      <c r="AC188" s="954"/>
      <c r="AD188" s="954"/>
      <c r="AE188" s="924"/>
      <c r="AF188" s="924"/>
      <c r="AG188" s="924"/>
      <c r="AH188" s="924"/>
      <c r="AI188" s="924"/>
      <c r="AJ188" s="924"/>
      <c r="AK188" s="924"/>
      <c r="AL188" s="924"/>
      <c r="AM188" s="924"/>
      <c r="AN188" s="924"/>
      <c r="AO188" s="924"/>
      <c r="AP188" s="924"/>
      <c r="AQ188" s="924"/>
      <c r="AR188" s="924"/>
      <c r="AS188" s="924"/>
      <c r="AT188" s="924"/>
      <c r="AU188" s="954"/>
      <c r="AV188" s="954"/>
      <c r="AW188" s="954"/>
      <c r="AX188" s="957"/>
      <c r="AY188" s="924"/>
      <c r="AZ188" s="924"/>
      <c r="BA188" s="924"/>
      <c r="BB188" s="924"/>
      <c r="BC188" s="924"/>
      <c r="BD188" s="924"/>
      <c r="BE188" s="924"/>
      <c r="BF188" s="924"/>
      <c r="BG188" s="955"/>
      <c r="BH188" s="924"/>
    </row>
    <row r="189" spans="1:60" ht="18" customHeight="1" x14ac:dyDescent="0.25">
      <c r="A189" s="1314"/>
      <c r="B189" s="954"/>
      <c r="C189" s="954"/>
      <c r="D189" s="954"/>
      <c r="E189" s="954"/>
      <c r="F189" s="954"/>
      <c r="G189" s="954"/>
      <c r="H189" s="954"/>
      <c r="I189" s="954"/>
      <c r="J189" s="954"/>
      <c r="K189" s="954"/>
      <c r="L189" s="954"/>
      <c r="M189" s="954"/>
      <c r="N189" s="954"/>
      <c r="O189" s="954"/>
      <c r="P189" s="954"/>
      <c r="Q189" s="954"/>
      <c r="R189" s="954"/>
      <c r="S189" s="954"/>
      <c r="T189" s="954"/>
      <c r="U189" s="954"/>
      <c r="V189" s="955"/>
      <c r="W189" s="954"/>
      <c r="X189" s="954"/>
      <c r="Y189" s="954"/>
      <c r="Z189" s="954"/>
      <c r="AA189" s="954"/>
      <c r="AB189" s="956"/>
      <c r="AC189" s="954"/>
      <c r="AD189" s="954"/>
      <c r="AE189" s="924"/>
      <c r="AF189" s="924"/>
      <c r="AG189" s="924"/>
      <c r="AH189" s="924"/>
      <c r="AI189" s="924"/>
      <c r="AJ189" s="924"/>
      <c r="AK189" s="924"/>
      <c r="AL189" s="924"/>
      <c r="AM189" s="924"/>
      <c r="AN189" s="924"/>
      <c r="AO189" s="924"/>
      <c r="AP189" s="924"/>
      <c r="AQ189" s="924"/>
      <c r="AR189" s="924"/>
      <c r="AS189" s="924"/>
      <c r="AT189" s="924"/>
      <c r="AU189" s="954"/>
      <c r="AV189" s="954"/>
      <c r="AW189" s="954"/>
      <c r="AX189" s="957"/>
      <c r="AY189" s="924"/>
      <c r="AZ189" s="924"/>
      <c r="BA189" s="924"/>
      <c r="BB189" s="924"/>
      <c r="BC189" s="924"/>
      <c r="BD189" s="924"/>
      <c r="BE189" s="924"/>
      <c r="BF189" s="924"/>
      <c r="BG189" s="955"/>
      <c r="BH189" s="924"/>
    </row>
    <row r="190" spans="1:60" ht="18" customHeight="1" x14ac:dyDescent="0.25">
      <c r="A190" s="1314"/>
      <c r="B190" s="954"/>
      <c r="C190" s="954"/>
      <c r="D190" s="954"/>
      <c r="E190" s="954"/>
      <c r="F190" s="954"/>
      <c r="G190" s="954"/>
      <c r="H190" s="954"/>
      <c r="I190" s="954"/>
      <c r="J190" s="954"/>
      <c r="K190" s="954"/>
      <c r="L190" s="954"/>
      <c r="M190" s="954"/>
      <c r="N190" s="954"/>
      <c r="O190" s="954"/>
      <c r="P190" s="954"/>
      <c r="Q190" s="954"/>
      <c r="R190" s="954"/>
      <c r="S190" s="954"/>
      <c r="T190" s="954"/>
      <c r="U190" s="954"/>
      <c r="V190" s="955"/>
      <c r="W190" s="954"/>
      <c r="X190" s="954"/>
      <c r="Y190" s="954"/>
      <c r="Z190" s="954"/>
      <c r="AA190" s="954"/>
      <c r="AB190" s="956"/>
      <c r="AC190" s="954"/>
      <c r="AD190" s="954"/>
      <c r="AE190" s="924"/>
      <c r="AF190" s="924"/>
      <c r="AG190" s="924"/>
      <c r="AH190" s="924"/>
      <c r="AI190" s="924"/>
      <c r="AJ190" s="924"/>
      <c r="AK190" s="924"/>
      <c r="AL190" s="924"/>
      <c r="AM190" s="924"/>
      <c r="AN190" s="924"/>
      <c r="AO190" s="924"/>
      <c r="AP190" s="924"/>
      <c r="AQ190" s="924"/>
      <c r="AR190" s="924"/>
      <c r="AS190" s="924"/>
      <c r="AT190" s="924"/>
      <c r="AU190" s="954"/>
      <c r="AV190" s="954"/>
      <c r="AW190" s="954"/>
      <c r="AX190" s="957"/>
      <c r="AY190" s="924"/>
      <c r="AZ190" s="924"/>
      <c r="BA190" s="924"/>
      <c r="BB190" s="924"/>
      <c r="BC190" s="924"/>
      <c r="BD190" s="924"/>
      <c r="BE190" s="924"/>
      <c r="BF190" s="924"/>
      <c r="BG190" s="955"/>
      <c r="BH190" s="924"/>
    </row>
    <row r="191" spans="1:60" ht="18" customHeight="1" x14ac:dyDescent="0.25">
      <c r="A191" s="1314"/>
      <c r="B191" s="954"/>
      <c r="C191" s="954"/>
      <c r="D191" s="954"/>
      <c r="E191" s="954"/>
      <c r="F191" s="954"/>
      <c r="G191" s="954"/>
      <c r="H191" s="954"/>
      <c r="I191" s="954"/>
      <c r="J191" s="954"/>
      <c r="K191" s="954"/>
      <c r="L191" s="954"/>
      <c r="M191" s="954"/>
      <c r="N191" s="954"/>
      <c r="O191" s="954"/>
      <c r="P191" s="954"/>
      <c r="Q191" s="954"/>
      <c r="R191" s="954"/>
      <c r="S191" s="954"/>
      <c r="T191" s="954"/>
      <c r="U191" s="954"/>
      <c r="V191" s="955"/>
      <c r="W191" s="954"/>
      <c r="X191" s="954"/>
      <c r="Y191" s="954"/>
      <c r="Z191" s="954"/>
      <c r="AA191" s="954"/>
      <c r="AB191" s="956"/>
      <c r="AC191" s="954"/>
      <c r="AD191" s="954"/>
      <c r="AE191" s="924"/>
      <c r="AF191" s="924"/>
      <c r="AG191" s="924"/>
      <c r="AH191" s="924"/>
      <c r="AI191" s="924"/>
      <c r="AJ191" s="924"/>
      <c r="AK191" s="924"/>
      <c r="AL191" s="924"/>
      <c r="AM191" s="924"/>
      <c r="AN191" s="924"/>
      <c r="AO191" s="924"/>
      <c r="AP191" s="924"/>
      <c r="AQ191" s="924"/>
      <c r="AR191" s="924"/>
      <c r="AS191" s="924"/>
      <c r="AT191" s="924"/>
      <c r="AU191" s="954"/>
      <c r="AV191" s="954"/>
      <c r="AW191" s="954"/>
      <c r="AX191" s="957"/>
      <c r="AY191" s="924"/>
      <c r="AZ191" s="924"/>
      <c r="BA191" s="924"/>
      <c r="BB191" s="924"/>
      <c r="BC191" s="924"/>
      <c r="BD191" s="924"/>
      <c r="BE191" s="924"/>
      <c r="BF191" s="924"/>
      <c r="BG191" s="955"/>
      <c r="BH191" s="924"/>
    </row>
    <row r="192" spans="1:60" ht="18" customHeight="1" x14ac:dyDescent="0.25">
      <c r="A192" s="1314"/>
      <c r="B192" s="954"/>
      <c r="C192" s="954"/>
      <c r="D192" s="954"/>
      <c r="E192" s="954"/>
      <c r="F192" s="954"/>
      <c r="G192" s="954"/>
      <c r="H192" s="954"/>
      <c r="I192" s="954"/>
      <c r="J192" s="954"/>
      <c r="K192" s="954"/>
      <c r="L192" s="954"/>
      <c r="M192" s="954"/>
      <c r="N192" s="954"/>
      <c r="O192" s="954"/>
      <c r="P192" s="954"/>
      <c r="Q192" s="954"/>
      <c r="R192" s="954"/>
      <c r="S192" s="954"/>
      <c r="T192" s="954"/>
      <c r="U192" s="954"/>
      <c r="V192" s="955"/>
      <c r="W192" s="954"/>
      <c r="X192" s="954"/>
      <c r="Y192" s="954"/>
      <c r="Z192" s="954"/>
      <c r="AA192" s="954"/>
      <c r="AB192" s="956"/>
      <c r="AC192" s="954"/>
      <c r="AD192" s="954"/>
      <c r="AE192" s="924"/>
      <c r="AF192" s="924"/>
      <c r="AG192" s="924"/>
      <c r="AH192" s="924"/>
      <c r="AI192" s="924"/>
      <c r="AJ192" s="924"/>
      <c r="AK192" s="924"/>
      <c r="AL192" s="924"/>
      <c r="AM192" s="924"/>
      <c r="AN192" s="924"/>
      <c r="AO192" s="924"/>
      <c r="AP192" s="924"/>
      <c r="AQ192" s="924"/>
      <c r="AR192" s="924"/>
      <c r="AS192" s="924"/>
      <c r="AT192" s="924"/>
      <c r="AU192" s="954"/>
      <c r="AV192" s="954"/>
      <c r="AW192" s="954"/>
      <c r="AX192" s="957"/>
      <c r="AY192" s="924"/>
      <c r="AZ192" s="924"/>
      <c r="BA192" s="924"/>
      <c r="BB192" s="924"/>
      <c r="BC192" s="924"/>
      <c r="BD192" s="924"/>
      <c r="BE192" s="924"/>
      <c r="BF192" s="924"/>
      <c r="BG192" s="955"/>
      <c r="BH192" s="924"/>
    </row>
    <row r="193" spans="1:60" ht="18" customHeight="1" x14ac:dyDescent="0.25">
      <c r="A193" s="1314"/>
      <c r="B193" s="954"/>
      <c r="C193" s="954"/>
      <c r="D193" s="954"/>
      <c r="E193" s="954"/>
      <c r="F193" s="954"/>
      <c r="G193" s="954"/>
      <c r="H193" s="954"/>
      <c r="I193" s="954"/>
      <c r="J193" s="954"/>
      <c r="K193" s="954"/>
      <c r="L193" s="954"/>
      <c r="M193" s="954"/>
      <c r="N193" s="954"/>
      <c r="O193" s="954"/>
      <c r="P193" s="954"/>
      <c r="Q193" s="954"/>
      <c r="R193" s="954"/>
      <c r="S193" s="954"/>
      <c r="T193" s="954"/>
      <c r="U193" s="954"/>
      <c r="V193" s="955"/>
      <c r="W193" s="954"/>
      <c r="X193" s="954"/>
      <c r="Y193" s="954"/>
      <c r="Z193" s="954"/>
      <c r="AA193" s="954"/>
      <c r="AB193" s="956"/>
      <c r="AC193" s="954"/>
      <c r="AD193" s="954"/>
      <c r="AE193" s="924"/>
      <c r="AF193" s="924"/>
      <c r="AG193" s="924"/>
      <c r="AH193" s="924"/>
      <c r="AI193" s="924"/>
      <c r="AJ193" s="924"/>
      <c r="AK193" s="924"/>
      <c r="AL193" s="924"/>
      <c r="AM193" s="924"/>
      <c r="AN193" s="924"/>
      <c r="AO193" s="924"/>
      <c r="AP193" s="924"/>
      <c r="AQ193" s="924"/>
      <c r="AR193" s="924"/>
      <c r="AS193" s="924"/>
      <c r="AT193" s="924"/>
      <c r="AU193" s="954"/>
      <c r="AV193" s="954"/>
      <c r="AW193" s="954"/>
      <c r="AX193" s="957"/>
      <c r="AY193" s="924"/>
      <c r="AZ193" s="924"/>
      <c r="BA193" s="924"/>
      <c r="BB193" s="924"/>
      <c r="BC193" s="924"/>
      <c r="BD193" s="924"/>
      <c r="BE193" s="924"/>
      <c r="BF193" s="924"/>
      <c r="BG193" s="955"/>
      <c r="BH193" s="924"/>
    </row>
    <row r="194" spans="1:60" ht="18" customHeight="1" x14ac:dyDescent="0.25">
      <c r="A194" s="1314"/>
      <c r="B194" s="954"/>
      <c r="C194" s="954"/>
      <c r="D194" s="954"/>
      <c r="E194" s="954"/>
      <c r="F194" s="954"/>
      <c r="G194" s="954"/>
      <c r="H194" s="954"/>
      <c r="I194" s="954"/>
      <c r="J194" s="954"/>
      <c r="K194" s="954"/>
      <c r="L194" s="954"/>
      <c r="M194" s="954"/>
      <c r="N194" s="954"/>
      <c r="O194" s="954"/>
      <c r="P194" s="954"/>
      <c r="Q194" s="954"/>
      <c r="R194" s="954"/>
      <c r="S194" s="954"/>
      <c r="T194" s="954"/>
      <c r="U194" s="954"/>
      <c r="V194" s="955"/>
      <c r="W194" s="954"/>
      <c r="X194" s="954"/>
      <c r="Y194" s="954"/>
      <c r="Z194" s="954"/>
      <c r="AA194" s="954"/>
      <c r="AB194" s="956"/>
      <c r="AC194" s="954"/>
      <c r="AD194" s="954"/>
      <c r="AE194" s="924"/>
      <c r="AF194" s="924"/>
      <c r="AG194" s="924"/>
      <c r="AH194" s="924"/>
      <c r="AI194" s="924"/>
      <c r="AJ194" s="924"/>
      <c r="AK194" s="924"/>
      <c r="AL194" s="924"/>
      <c r="AM194" s="924"/>
      <c r="AN194" s="924"/>
      <c r="AO194" s="924"/>
      <c r="AP194" s="924"/>
      <c r="AQ194" s="924"/>
      <c r="AR194" s="924"/>
      <c r="AS194" s="924"/>
      <c r="AT194" s="924"/>
      <c r="AU194" s="954"/>
      <c r="AV194" s="954"/>
      <c r="AW194" s="954"/>
      <c r="AX194" s="957"/>
      <c r="AY194" s="924"/>
      <c r="AZ194" s="924"/>
      <c r="BA194" s="924"/>
      <c r="BB194" s="924"/>
      <c r="BC194" s="924"/>
      <c r="BD194" s="924"/>
      <c r="BE194" s="924"/>
      <c r="BF194" s="924"/>
      <c r="BG194" s="955"/>
      <c r="BH194" s="924"/>
    </row>
    <row r="195" spans="1:60" ht="18" customHeight="1" x14ac:dyDescent="0.25">
      <c r="A195" s="1314"/>
      <c r="B195" s="954"/>
      <c r="C195" s="954"/>
      <c r="D195" s="954"/>
      <c r="E195" s="954"/>
      <c r="F195" s="954"/>
      <c r="G195" s="954"/>
      <c r="H195" s="954"/>
      <c r="I195" s="954"/>
      <c r="J195" s="954"/>
      <c r="K195" s="954"/>
      <c r="L195" s="954"/>
      <c r="M195" s="954"/>
      <c r="N195" s="954"/>
      <c r="O195" s="954"/>
      <c r="P195" s="954"/>
      <c r="Q195" s="954"/>
      <c r="R195" s="954"/>
      <c r="S195" s="954"/>
      <c r="T195" s="954"/>
      <c r="U195" s="954"/>
      <c r="V195" s="955"/>
      <c r="W195" s="954"/>
      <c r="X195" s="954"/>
      <c r="Y195" s="954"/>
      <c r="Z195" s="954"/>
      <c r="AA195" s="954"/>
      <c r="AB195" s="956"/>
      <c r="AC195" s="954"/>
      <c r="AD195" s="954"/>
      <c r="AE195" s="924"/>
      <c r="AF195" s="924"/>
      <c r="AG195" s="924"/>
      <c r="AH195" s="924"/>
      <c r="AI195" s="924"/>
      <c r="AJ195" s="924"/>
      <c r="AK195" s="924"/>
      <c r="AL195" s="924"/>
      <c r="AM195" s="924"/>
      <c r="AN195" s="924"/>
      <c r="AO195" s="924"/>
      <c r="AP195" s="924"/>
      <c r="AQ195" s="924"/>
      <c r="AR195" s="924"/>
      <c r="AS195" s="924"/>
      <c r="AT195" s="924"/>
      <c r="AU195" s="954"/>
      <c r="AV195" s="954"/>
      <c r="AW195" s="954"/>
      <c r="AX195" s="957"/>
      <c r="AY195" s="924"/>
      <c r="AZ195" s="924"/>
      <c r="BA195" s="924"/>
      <c r="BB195" s="924"/>
      <c r="BC195" s="924"/>
      <c r="BD195" s="924"/>
      <c r="BE195" s="924"/>
      <c r="BF195" s="924"/>
      <c r="BG195" s="955"/>
      <c r="BH195" s="924"/>
    </row>
    <row r="196" spans="1:60" ht="18" customHeight="1" x14ac:dyDescent="0.25">
      <c r="A196" s="1314"/>
      <c r="B196" s="954"/>
      <c r="C196" s="954"/>
      <c r="D196" s="954"/>
      <c r="E196" s="954"/>
      <c r="F196" s="954"/>
      <c r="G196" s="954"/>
      <c r="H196" s="954"/>
      <c r="I196" s="954"/>
      <c r="J196" s="954"/>
      <c r="K196" s="954"/>
      <c r="L196" s="954"/>
      <c r="M196" s="954"/>
      <c r="N196" s="954"/>
      <c r="O196" s="954"/>
      <c r="P196" s="954"/>
      <c r="Q196" s="954"/>
      <c r="R196" s="954"/>
      <c r="S196" s="954"/>
      <c r="T196" s="954"/>
      <c r="U196" s="954"/>
      <c r="V196" s="955"/>
      <c r="W196" s="954"/>
      <c r="X196" s="954"/>
      <c r="Y196" s="954"/>
      <c r="Z196" s="954"/>
      <c r="AA196" s="954"/>
      <c r="AB196" s="956"/>
      <c r="AC196" s="954"/>
      <c r="AD196" s="954"/>
      <c r="AE196" s="924"/>
      <c r="AF196" s="924"/>
      <c r="AG196" s="924"/>
      <c r="AH196" s="924"/>
      <c r="AI196" s="924"/>
      <c r="AJ196" s="924"/>
      <c r="AK196" s="924"/>
      <c r="AL196" s="924"/>
      <c r="AM196" s="924"/>
      <c r="AN196" s="924"/>
      <c r="AO196" s="924"/>
      <c r="AP196" s="924"/>
      <c r="AQ196" s="924"/>
      <c r="AR196" s="924"/>
      <c r="AS196" s="924"/>
      <c r="AT196" s="924"/>
      <c r="AU196" s="954"/>
      <c r="AV196" s="954"/>
      <c r="AW196" s="954"/>
      <c r="AX196" s="957"/>
      <c r="AY196" s="924"/>
      <c r="AZ196" s="924"/>
      <c r="BA196" s="924"/>
      <c r="BB196" s="924"/>
      <c r="BC196" s="924"/>
      <c r="BD196" s="924"/>
      <c r="BE196" s="924"/>
      <c r="BF196" s="924"/>
      <c r="BG196" s="955"/>
      <c r="BH196" s="924"/>
    </row>
    <row r="197" spans="1:60" ht="18" customHeight="1" x14ac:dyDescent="0.25">
      <c r="A197" s="1314"/>
      <c r="B197" s="954"/>
      <c r="C197" s="954"/>
      <c r="D197" s="954"/>
      <c r="E197" s="954"/>
      <c r="F197" s="954"/>
      <c r="G197" s="954"/>
      <c r="H197" s="954"/>
      <c r="I197" s="954"/>
      <c r="J197" s="954"/>
      <c r="K197" s="954"/>
      <c r="L197" s="954"/>
      <c r="M197" s="954"/>
      <c r="N197" s="954"/>
      <c r="O197" s="954"/>
      <c r="P197" s="954"/>
      <c r="Q197" s="954"/>
      <c r="R197" s="954"/>
      <c r="S197" s="954"/>
      <c r="T197" s="954"/>
      <c r="U197" s="954"/>
      <c r="V197" s="955"/>
      <c r="W197" s="954"/>
      <c r="X197" s="954"/>
      <c r="Y197" s="954"/>
      <c r="Z197" s="954"/>
      <c r="AA197" s="954"/>
      <c r="AB197" s="956"/>
      <c r="AC197" s="954"/>
      <c r="AD197" s="954"/>
      <c r="AE197" s="924"/>
      <c r="AF197" s="924"/>
      <c r="AG197" s="924"/>
      <c r="AH197" s="924"/>
      <c r="AI197" s="924"/>
      <c r="AJ197" s="924"/>
      <c r="AK197" s="924"/>
      <c r="AL197" s="924"/>
      <c r="AM197" s="924"/>
      <c r="AN197" s="924"/>
      <c r="AO197" s="924"/>
      <c r="AP197" s="924"/>
      <c r="AQ197" s="924"/>
      <c r="AR197" s="924"/>
      <c r="AS197" s="924"/>
      <c r="AT197" s="924"/>
      <c r="AU197" s="954"/>
      <c r="AV197" s="954"/>
      <c r="AW197" s="954"/>
      <c r="AX197" s="957"/>
      <c r="AY197" s="924"/>
      <c r="AZ197" s="924"/>
      <c r="BA197" s="924"/>
      <c r="BB197" s="924"/>
      <c r="BC197" s="924"/>
      <c r="BD197" s="924"/>
      <c r="BE197" s="924"/>
      <c r="BF197" s="924"/>
      <c r="BG197" s="955"/>
      <c r="BH197" s="924"/>
    </row>
    <row r="198" spans="1:60" ht="18" customHeight="1" x14ac:dyDescent="0.25">
      <c r="A198" s="1314"/>
      <c r="B198" s="954"/>
      <c r="C198" s="954"/>
      <c r="D198" s="954"/>
      <c r="E198" s="954"/>
      <c r="F198" s="954"/>
      <c r="G198" s="954"/>
      <c r="H198" s="954"/>
      <c r="I198" s="954"/>
      <c r="J198" s="954"/>
      <c r="K198" s="954"/>
      <c r="L198" s="954"/>
      <c r="M198" s="954"/>
      <c r="N198" s="954"/>
      <c r="O198" s="954"/>
      <c r="P198" s="954"/>
      <c r="Q198" s="954"/>
      <c r="R198" s="954"/>
      <c r="S198" s="954"/>
      <c r="T198" s="954"/>
      <c r="U198" s="954"/>
      <c r="V198" s="955"/>
      <c r="W198" s="954"/>
      <c r="X198" s="954"/>
      <c r="Y198" s="954"/>
      <c r="Z198" s="954"/>
      <c r="AA198" s="954"/>
      <c r="AB198" s="956"/>
      <c r="AC198" s="954"/>
      <c r="AD198" s="954"/>
      <c r="AE198" s="924"/>
      <c r="AF198" s="924"/>
      <c r="AG198" s="924"/>
      <c r="AH198" s="924"/>
      <c r="AI198" s="924"/>
      <c r="AJ198" s="924"/>
      <c r="AK198" s="924"/>
      <c r="AL198" s="924"/>
      <c r="AM198" s="924"/>
      <c r="AN198" s="924"/>
      <c r="AO198" s="924"/>
      <c r="AP198" s="924"/>
      <c r="AQ198" s="924"/>
      <c r="AR198" s="924"/>
      <c r="AS198" s="924"/>
      <c r="AT198" s="924"/>
      <c r="AU198" s="954"/>
      <c r="AV198" s="954"/>
      <c r="AW198" s="954"/>
      <c r="AX198" s="957"/>
      <c r="AY198" s="924"/>
      <c r="AZ198" s="924"/>
      <c r="BA198" s="924"/>
      <c r="BB198" s="924"/>
      <c r="BC198" s="924"/>
      <c r="BD198" s="924"/>
      <c r="BE198" s="924"/>
      <c r="BF198" s="924"/>
      <c r="BG198" s="955"/>
      <c r="BH198" s="924"/>
    </row>
    <row r="199" spans="1:60" ht="18" customHeight="1" x14ac:dyDescent="0.25">
      <c r="A199" s="1314"/>
      <c r="B199" s="954"/>
      <c r="C199" s="954"/>
      <c r="D199" s="954"/>
      <c r="E199" s="954"/>
      <c r="F199" s="954"/>
      <c r="G199" s="954"/>
      <c r="H199" s="954"/>
      <c r="I199" s="954"/>
      <c r="J199" s="954"/>
      <c r="K199" s="954"/>
      <c r="L199" s="954"/>
      <c r="M199" s="954"/>
      <c r="N199" s="954"/>
      <c r="O199" s="954"/>
      <c r="P199" s="954"/>
      <c r="Q199" s="954"/>
      <c r="R199" s="954"/>
      <c r="S199" s="954"/>
      <c r="T199" s="954"/>
      <c r="U199" s="954"/>
      <c r="V199" s="955"/>
      <c r="W199" s="954"/>
      <c r="X199" s="954"/>
      <c r="Y199" s="954"/>
      <c r="Z199" s="954"/>
      <c r="AA199" s="954"/>
      <c r="AB199" s="956"/>
      <c r="AC199" s="954"/>
      <c r="AD199" s="954"/>
      <c r="AE199" s="924"/>
      <c r="AF199" s="924"/>
      <c r="AG199" s="924"/>
      <c r="AH199" s="924"/>
      <c r="AI199" s="924"/>
      <c r="AJ199" s="924"/>
      <c r="AK199" s="924"/>
      <c r="AL199" s="924"/>
      <c r="AM199" s="924"/>
      <c r="AN199" s="924"/>
      <c r="AO199" s="924"/>
      <c r="AP199" s="924"/>
      <c r="AQ199" s="924"/>
      <c r="AR199" s="924"/>
      <c r="AS199" s="924"/>
      <c r="AT199" s="924"/>
      <c r="AU199" s="954"/>
      <c r="AV199" s="954"/>
      <c r="AW199" s="954"/>
      <c r="AX199" s="957"/>
      <c r="AY199" s="924"/>
      <c r="AZ199" s="924"/>
      <c r="BA199" s="924"/>
      <c r="BB199" s="924"/>
      <c r="BC199" s="924"/>
      <c r="BD199" s="924"/>
      <c r="BE199" s="924"/>
      <c r="BF199" s="924"/>
      <c r="BG199" s="955"/>
      <c r="BH199" s="924"/>
    </row>
    <row r="200" spans="1:60" ht="18" customHeight="1" x14ac:dyDescent="0.25">
      <c r="A200" s="1314"/>
      <c r="B200" s="954"/>
      <c r="C200" s="954"/>
      <c r="D200" s="954"/>
      <c r="E200" s="954"/>
      <c r="F200" s="954"/>
      <c r="G200" s="954"/>
      <c r="H200" s="954"/>
      <c r="I200" s="954"/>
      <c r="J200" s="954"/>
      <c r="K200" s="954"/>
      <c r="L200" s="954"/>
      <c r="M200" s="954"/>
      <c r="N200" s="954"/>
      <c r="O200" s="954"/>
      <c r="P200" s="954"/>
      <c r="Q200" s="954"/>
      <c r="R200" s="954"/>
      <c r="S200" s="954"/>
      <c r="T200" s="954"/>
      <c r="U200" s="954"/>
      <c r="V200" s="955"/>
      <c r="W200" s="954"/>
      <c r="X200" s="954"/>
      <c r="Y200" s="954"/>
      <c r="Z200" s="954"/>
      <c r="AA200" s="954"/>
      <c r="AB200" s="956"/>
      <c r="AC200" s="954"/>
      <c r="AD200" s="954"/>
      <c r="AE200" s="924"/>
      <c r="AF200" s="924"/>
      <c r="AG200" s="924"/>
      <c r="AH200" s="924"/>
      <c r="AI200" s="924"/>
      <c r="AJ200" s="924"/>
      <c r="AK200" s="924"/>
      <c r="AL200" s="924"/>
      <c r="AM200" s="924"/>
      <c r="AN200" s="924"/>
      <c r="AO200" s="924"/>
      <c r="AP200" s="924"/>
      <c r="AQ200" s="924"/>
      <c r="AR200" s="924"/>
      <c r="AS200" s="924"/>
      <c r="AT200" s="924"/>
      <c r="AU200" s="954"/>
      <c r="AV200" s="954"/>
      <c r="AW200" s="954"/>
      <c r="AX200" s="957"/>
      <c r="AY200" s="924"/>
      <c r="AZ200" s="924"/>
      <c r="BA200" s="924"/>
      <c r="BB200" s="924"/>
      <c r="BC200" s="924"/>
      <c r="BD200" s="924"/>
      <c r="BE200" s="924"/>
      <c r="BF200" s="924"/>
      <c r="BG200" s="955"/>
      <c r="BH200" s="924"/>
    </row>
    <row r="201" spans="1:60" ht="18" customHeight="1" x14ac:dyDescent="0.25">
      <c r="A201" s="1314"/>
      <c r="B201" s="954"/>
      <c r="C201" s="954"/>
      <c r="D201" s="954"/>
      <c r="E201" s="954"/>
      <c r="F201" s="954"/>
      <c r="G201" s="954"/>
      <c r="H201" s="954"/>
      <c r="I201" s="954"/>
      <c r="J201" s="954"/>
      <c r="K201" s="954"/>
      <c r="L201" s="954"/>
      <c r="M201" s="954"/>
      <c r="N201" s="954"/>
      <c r="O201" s="954"/>
      <c r="P201" s="954"/>
      <c r="Q201" s="954"/>
      <c r="R201" s="954"/>
      <c r="S201" s="954"/>
      <c r="T201" s="954"/>
      <c r="U201" s="954"/>
      <c r="V201" s="955"/>
      <c r="W201" s="954"/>
      <c r="X201" s="954"/>
      <c r="Y201" s="954"/>
      <c r="Z201" s="954"/>
      <c r="AA201" s="954"/>
      <c r="AB201" s="956"/>
      <c r="AC201" s="954"/>
      <c r="AD201" s="954"/>
      <c r="AE201" s="924"/>
      <c r="AF201" s="924"/>
      <c r="AG201" s="924"/>
      <c r="AH201" s="924"/>
      <c r="AI201" s="924"/>
      <c r="AJ201" s="924"/>
      <c r="AK201" s="924"/>
      <c r="AL201" s="924"/>
      <c r="AM201" s="924"/>
      <c r="AN201" s="924"/>
      <c r="AO201" s="924"/>
      <c r="AP201" s="924"/>
      <c r="AQ201" s="924"/>
      <c r="AR201" s="924"/>
      <c r="AS201" s="924"/>
      <c r="AT201" s="924"/>
      <c r="AU201" s="954"/>
      <c r="AV201" s="954"/>
      <c r="AW201" s="954"/>
      <c r="AX201" s="957"/>
      <c r="AY201" s="924"/>
      <c r="AZ201" s="924"/>
      <c r="BA201" s="924"/>
      <c r="BB201" s="924"/>
      <c r="BC201" s="924"/>
      <c r="BD201" s="924"/>
      <c r="BE201" s="924"/>
      <c r="BF201" s="924"/>
      <c r="BG201" s="955"/>
      <c r="BH201" s="924"/>
    </row>
    <row r="1047613" spans="46:46" ht="18" customHeight="1" x14ac:dyDescent="0.25">
      <c r="AT1047613" s="590" t="s">
        <v>175</v>
      </c>
    </row>
  </sheetData>
  <sheetProtection formatCells="0" formatColumns="0" formatRows="0" insertRows="0" deleteRows="0" selectLockedCells="1" autoFilter="0"/>
  <protectedRanges>
    <protectedRange sqref="AZ1:BA6 V14:AY16 BB6:BF6 BB1:BD5 BH1:BI6 V27:BD27 V26:AW26 AS6:AY6 AZ9:BD16 AQ9 AQ11:AQ13 AS9:AV9 AS11:AV13 AW9:AY13 AR9:AR12 AO1:AY3 AQ4:AY5 V9:AN9 BH8:BI17 V17:AM17 BH38:BI1048576 K9:U17 AS19:BD25 AP19:AQ25 BH19:BI25 V19:AM25 K7:BI7 F14:J17 F8:BE8 B8:E17 B39:BD1048576 AS17:BD17 C38:BD38 W6 K1:Q6 R1 R6 S1:V6 W1:W3 B1:J7 X1:AN6 AI10:AN13 AS28:BD36 BH27:BI36 B28:B36 F19:U36 AP17:AQ17 V28:AM36 AP28:AQ36 B19:E27" name="Rango1"/>
    <protectedRange sqref="V10:AH13 AO9:AP9 AO11:AP13 BR10:BS13 BV10:BV12 BW12 BZ10:BZ12 CA12 CF10:CF12 CG12" name="Rango1_1"/>
    <protectedRange sqref="AN17 AR17 AR19:AR25 AN19:AN25 AN28:AN36" name="Rango1_2"/>
    <protectedRange sqref="C28:E36" name="Rango2_2"/>
    <protectedRange sqref="AO19:AO25 AO28:AO36 AR28:AR36 AO17" name="Rango2"/>
    <protectedRange sqref="F9:J13" name="Rango1_3"/>
    <protectedRange sqref="BH18:BI18 B18:BD18" name="Rango1_5"/>
  </protectedRanges>
  <dataConsolidate/>
  <mergeCells count="147">
    <mergeCell ref="BV10:BY11"/>
    <mergeCell ref="BZ10:CE11"/>
    <mergeCell ref="CF10:CK11"/>
    <mergeCell ref="F24:J24"/>
    <mergeCell ref="C24:E24"/>
    <mergeCell ref="P35:U35"/>
    <mergeCell ref="K35:O35"/>
    <mergeCell ref="F35:J35"/>
    <mergeCell ref="C35:E35"/>
    <mergeCell ref="BE9:BE12"/>
    <mergeCell ref="BD9:BD13"/>
    <mergeCell ref="BC9:BC13"/>
    <mergeCell ref="BI9:BI13"/>
    <mergeCell ref="BG8:BG12"/>
    <mergeCell ref="BF8:BF12"/>
    <mergeCell ref="BH9:BH13"/>
    <mergeCell ref="Y10:Y12"/>
    <mergeCell ref="W9:AD9"/>
    <mergeCell ref="AE9:AN9"/>
    <mergeCell ref="AE10:AE12"/>
    <mergeCell ref="AF10:AF12"/>
    <mergeCell ref="AI10:AI12"/>
    <mergeCell ref="AH10:AH12"/>
    <mergeCell ref="AG10:AG12"/>
    <mergeCell ref="P36:U36"/>
    <mergeCell ref="K36:O36"/>
    <mergeCell ref="F31:J31"/>
    <mergeCell ref="K31:O31"/>
    <mergeCell ref="K33:O33"/>
    <mergeCell ref="P22:U22"/>
    <mergeCell ref="C18:AN18"/>
    <mergeCell ref="K22:O22"/>
    <mergeCell ref="F22:J22"/>
    <mergeCell ref="C22:E22"/>
    <mergeCell ref="F19:J19"/>
    <mergeCell ref="P20:U20"/>
    <mergeCell ref="K20:O20"/>
    <mergeCell ref="F20:J20"/>
    <mergeCell ref="C20:E20"/>
    <mergeCell ref="P19:U19"/>
    <mergeCell ref="K19:O19"/>
    <mergeCell ref="C19:E19"/>
    <mergeCell ref="P21:U21"/>
    <mergeCell ref="K21:O21"/>
    <mergeCell ref="F21:J21"/>
    <mergeCell ref="C21:E21"/>
    <mergeCell ref="A38:I38"/>
    <mergeCell ref="C33:E33"/>
    <mergeCell ref="F33:J33"/>
    <mergeCell ref="P33:U33"/>
    <mergeCell ref="C32:E32"/>
    <mergeCell ref="F32:J32"/>
    <mergeCell ref="K32:O32"/>
    <mergeCell ref="P32:U32"/>
    <mergeCell ref="C29:E29"/>
    <mergeCell ref="F29:J29"/>
    <mergeCell ref="K29:O29"/>
    <mergeCell ref="P29:U29"/>
    <mergeCell ref="C30:E30"/>
    <mergeCell ref="F30:J30"/>
    <mergeCell ref="C31:E31"/>
    <mergeCell ref="P31:U31"/>
    <mergeCell ref="K30:O30"/>
    <mergeCell ref="C36:E36"/>
    <mergeCell ref="P34:U34"/>
    <mergeCell ref="K34:O34"/>
    <mergeCell ref="F34:J34"/>
    <mergeCell ref="C34:E34"/>
    <mergeCell ref="F36:J36"/>
    <mergeCell ref="P30:U30"/>
    <mergeCell ref="X8:Y8"/>
    <mergeCell ref="AM10:AM12"/>
    <mergeCell ref="AD10:AD13"/>
    <mergeCell ref="AO6:AP6"/>
    <mergeCell ref="AO9:AO12"/>
    <mergeCell ref="AP9:AP13"/>
    <mergeCell ref="K28:O28"/>
    <mergeCell ref="P28:U28"/>
    <mergeCell ref="C27:AN27"/>
    <mergeCell ref="B26:AN26"/>
    <mergeCell ref="P23:U23"/>
    <mergeCell ref="K23:O23"/>
    <mergeCell ref="C28:E28"/>
    <mergeCell ref="F23:J23"/>
    <mergeCell ref="C23:E23"/>
    <mergeCell ref="P25:U25"/>
    <mergeCell ref="K25:O25"/>
    <mergeCell ref="F25:J25"/>
    <mergeCell ref="C25:E25"/>
    <mergeCell ref="P24:U24"/>
    <mergeCell ref="K24:O24"/>
    <mergeCell ref="F28:J28"/>
    <mergeCell ref="AC10:AC12"/>
    <mergeCell ref="BB9:BB13"/>
    <mergeCell ref="AQ9:AQ12"/>
    <mergeCell ref="AZ9:AZ13"/>
    <mergeCell ref="AW9:AW13"/>
    <mergeCell ref="AT9:AT13"/>
    <mergeCell ref="AU9:AU13"/>
    <mergeCell ref="AV9:AV13"/>
    <mergeCell ref="AQ6:AS6"/>
    <mergeCell ref="AS9:AS13"/>
    <mergeCell ref="A10:A12"/>
    <mergeCell ref="C8:E8"/>
    <mergeCell ref="F8:J8"/>
    <mergeCell ref="K8:O8"/>
    <mergeCell ref="P8:V8"/>
    <mergeCell ref="K9:V9"/>
    <mergeCell ref="B9:B13"/>
    <mergeCell ref="F9:J13"/>
    <mergeCell ref="K10:O12"/>
    <mergeCell ref="V10:V12"/>
    <mergeCell ref="P10:U13"/>
    <mergeCell ref="I2:AN2"/>
    <mergeCell ref="I3:AN3"/>
    <mergeCell ref="J4:AN4"/>
    <mergeCell ref="J5:N5"/>
    <mergeCell ref="O5:S5"/>
    <mergeCell ref="T5:X5"/>
    <mergeCell ref="Y5:Z5"/>
    <mergeCell ref="AA5:AE5"/>
    <mergeCell ref="AF5:AJ5"/>
    <mergeCell ref="AK5:AN5"/>
    <mergeCell ref="BR10:BR12"/>
    <mergeCell ref="BS10:BS12"/>
    <mergeCell ref="C17:E17"/>
    <mergeCell ref="F17:J17"/>
    <mergeCell ref="K17:O17"/>
    <mergeCell ref="B15:AN15"/>
    <mergeCell ref="P17:U17"/>
    <mergeCell ref="C14:AN14"/>
    <mergeCell ref="C16:AN16"/>
    <mergeCell ref="AB10:AB13"/>
    <mergeCell ref="AY9:AY13"/>
    <mergeCell ref="BA9:BA13"/>
    <mergeCell ref="AL10:AL12"/>
    <mergeCell ref="AX9:AX13"/>
    <mergeCell ref="K13:O13"/>
    <mergeCell ref="C9:E13"/>
    <mergeCell ref="W10:W12"/>
    <mergeCell ref="Z10:Z12"/>
    <mergeCell ref="AA10:AA12"/>
    <mergeCell ref="AJ10:AJ12"/>
    <mergeCell ref="AN10:AN13"/>
    <mergeCell ref="X10:X12"/>
    <mergeCell ref="AR9:AR13"/>
    <mergeCell ref="AK10:AK12"/>
  </mergeCells>
  <phoneticPr fontId="20" type="noConversion"/>
  <conditionalFormatting sqref="AN19:AN25 AR19:AS25 AS17 AN28:AN36 AS28:AS36">
    <cfRule type="expression" dxfId="23" priority="847">
      <formula>$AN17="--"</formula>
    </cfRule>
    <cfRule type="expression" dxfId="22" priority="848">
      <formula>MID($AI17,1,2)&lt;&gt;MID($AN17,3,2)</formula>
    </cfRule>
  </conditionalFormatting>
  <conditionalFormatting sqref="AR17:AS17">
    <cfRule type="expression" dxfId="21" priority="744">
      <formula>$AN17="--"</formula>
    </cfRule>
    <cfRule type="expression" dxfId="20" priority="745">
      <formula>MID($AI17,1,2)&lt;&gt;MID($AN17,3,2)</formula>
    </cfRule>
  </conditionalFormatting>
  <conditionalFormatting sqref="AC19:AC25 AC17 AC28:AC36">
    <cfRule type="expression" dxfId="19" priority="743">
      <formula>IF($AC17="--"," ",$AC17&gt;40)</formula>
    </cfRule>
  </conditionalFormatting>
  <conditionalFormatting sqref="AH17 AH19:AI25 AH28:AI36">
    <cfRule type="expression" dxfId="18" priority="737">
      <formula>IF($AV17="SI","N/A",(IF($AH17="--"," ",$AH17&gt;($AI17*10))))</formula>
    </cfRule>
  </conditionalFormatting>
  <conditionalFormatting sqref="AN17">
    <cfRule type="expression" dxfId="17" priority="738">
      <formula>$AN17="--"</formula>
    </cfRule>
    <cfRule type="expression" dxfId="16" priority="739">
      <formula>MID($AI17,1,2)&lt;&gt;MID($AN17,3,2)</formula>
    </cfRule>
  </conditionalFormatting>
  <conditionalFormatting sqref="AK19:AK25 AK17 AK28:AK36">
    <cfRule type="expression" dxfId="15" priority="736">
      <formula>IF($AK17="--"," ",$AK17&gt;100)</formula>
    </cfRule>
  </conditionalFormatting>
  <conditionalFormatting sqref="AI17">
    <cfRule type="expression" dxfId="14" priority="724">
      <formula>IF($AV17="SI","N/A",(IF($AH17="--"," ",$AH17&gt;($AI17*10))))</formula>
    </cfRule>
  </conditionalFormatting>
  <conditionalFormatting sqref="AS19:AS25">
    <cfRule type="expression" dxfId="13" priority="61">
      <formula>$AN19="--"</formula>
    </cfRule>
    <cfRule type="expression" dxfId="12" priority="62">
      <formula>MID($AI19,1,2)&lt;&gt;MID($AN19,3,2)</formula>
    </cfRule>
  </conditionalFormatting>
  <conditionalFormatting sqref="AK28:AK36">
    <cfRule type="cellIs" dxfId="11" priority="2" operator="greaterThan">
      <formula>AL28</formula>
    </cfRule>
  </conditionalFormatting>
  <printOptions horizontalCentered="1"/>
  <pageMargins left="0" right="7.874015748031496E-2" top="0" bottom="0.9055118110236221" header="0" footer="0"/>
  <pageSetup scale="45" fitToHeight="0" orientation="landscape" r:id="rId1"/>
  <headerFooter scaleWithDoc="0">
    <oddHeader xml:space="preserve">&amp;R                                         &amp;K00+000.                                                                                               </oddHeader>
    <oddFooter xml:space="preserve">&amp;L&amp;"Century Gothic,Normal"&amp;8         Código cliente: DNC-02208-ELE-MC-000001
         Código interno:-&amp;C&amp;"Century Gothic,Normal"&amp;8
&amp;R&amp;"Century Gothic,Normal"&amp;8Página &amp;P de &amp;N          &amp;K00+000 .&amp;K000000
&amp;"Arial,Normal"
</oddFooter>
  </headerFooter>
  <rowBreaks count="1" manualBreakCount="1">
    <brk id="37" min="1" max="61" man="1"/>
  </rowBreaks>
  <colBreaks count="1" manualBreakCount="1">
    <brk id="40" max="56" man="1"/>
  </colBreaks>
  <ignoredErrors>
    <ignoredError sqref="AJ29" evalError="1"/>
  </ignoredErrors>
  <drawing r:id="rId2"/>
  <extLst>
    <ext xmlns:x14="http://schemas.microsoft.com/office/spreadsheetml/2009/9/main" uri="{78C0D931-6437-407d-A8EE-F0AAD7539E65}">
      <x14:conditionalFormattings>
        <x14:conditionalFormatting xmlns:xm="http://schemas.microsoft.com/office/excel/2006/main">
          <x14:cfRule type="expression" priority="3862" id="{D6FE940F-3D16-46DC-9455-F6CC2498CCF0}">
            <xm:f>IF(OR($AU17="Monopolar",$AU17="Multiconductor"),VLOOKUP(C17,'CÁLCULO CONDUCTORES DE MT'!$C$2:$AR$15,34,FALSE)&lt;&gt;$AU17," ")</xm:f>
            <x14:dxf>
              <font>
                <strike/>
              </font>
              <numFmt numFmtId="216" formatCode="00000"/>
              <fill>
                <patternFill>
                  <bgColor theme="3" tint="0.79998168889431442"/>
                </patternFill>
              </fill>
            </x14:dxf>
          </x14:cfRule>
          <xm:sqref>AU19:AU25 AU17 AU28:AU36</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FB74258F-38CF-4E5F-8BCA-AF705EECA905}">
          <x14:formula1>
            <xm:f>CONDUITS!$A$25:$A$37</xm:f>
          </x14:formula1>
          <xm:sqref>AQ19:AQ25 AQ17 AQ28:AQ36</xm:sqref>
        </x14:dataValidation>
        <x14:dataValidation type="list" allowBlank="1" showInputMessage="1" showErrorMessage="1" xr:uid="{8AD31480-F8F9-44D6-8CF0-0BDDA5443D04}">
          <x14:formula1>
            <xm:f>CONDUITS!$G$24:$G$25</xm:f>
          </x14:formula1>
          <xm:sqref>AU19:AU25 AU17 AU28:AU36</xm:sqref>
        </x14:dataValidation>
        <x14:dataValidation type="list" allowBlank="1" showInputMessage="1" showErrorMessage="1" xr:uid="{FBB37A04-0065-4B1E-B6A2-0A1050985CE9}">
          <x14:formula1>
            <xm:f>Listas!$G$2:$G$7</xm:f>
          </x14:formula1>
          <xm:sqref>AP19:AP25 AP17 AP28:AP36</xm:sqref>
        </x14:dataValidation>
        <x14:dataValidation type="list" allowBlank="1" showInputMessage="1" showErrorMessage="1" xr:uid="{6AA88006-F712-47D0-9265-410384CCB016}">
          <x14:formula1>
            <xm:f>Listas!$C$2:$C$3</xm:f>
          </x14:formula1>
          <xm:sqref>AT1047613:AT1048576 AV19:AV25 AV17 AT17 AT19:AT25 AT28:AT36 AV28:AV36</xm:sqref>
        </x14:dataValidation>
        <x14:dataValidation type="list" allowBlank="1" showInputMessage="1" showErrorMessage="1" xr:uid="{4F654095-AA81-4493-B3E2-9F1AD178C13D}">
          <x14:formula1>
            <xm:f>CONDUITS!$I$24:$I$25</xm:f>
          </x14:formula1>
          <xm:sqref>AS19:AS25 AS17 AS28:AS36</xm:sqref>
        </x14:dataValidation>
        <x14:dataValidation type="list" allowBlank="1" showInputMessage="1" showErrorMessage="1" xr:uid="{DD3EDCBA-9BBC-45B3-8996-DC27C77D63F4}">
          <x14:formula1>
            <xm:f>CONDUCTORES!$A$84:$A$93</xm:f>
          </x14:formula1>
          <xm:sqref>AO19:AO25 AO17 AR28:AR36 AO28:AO36</xm:sqref>
        </x14:dataValidation>
        <x14:dataValidation type="list" allowBlank="1" showInputMessage="1" showErrorMessage="1" xr:uid="{B152B8FA-8FAB-4401-81D7-04D6465B4A5D}">
          <x14:formula1>
            <xm:f>Listas!$A$3:$A$12</xm:f>
          </x14:formula1>
          <xm:sqref>AR17 AR19:AR25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C22D7-4F06-4D5D-A9D3-CC0094252039}">
  <sheetPr codeName="Hoja33">
    <pageSetUpPr fitToPage="1"/>
  </sheetPr>
  <dimension ref="B1:CF78"/>
  <sheetViews>
    <sheetView showGridLines="0" view="pageBreakPreview" zoomScaleNormal="100" zoomScaleSheetLayoutView="100" workbookViewId="0">
      <selection activeCell="V23" sqref="V23"/>
    </sheetView>
  </sheetViews>
  <sheetFormatPr baseColWidth="10" defaultColWidth="11.44140625" defaultRowHeight="23.25" customHeight="1" x14ac:dyDescent="0.25"/>
  <cols>
    <col min="1" max="1" width="3.5546875" style="349" customWidth="1"/>
    <col min="2" max="2" width="4.5546875" style="349" hidden="1" customWidth="1"/>
    <col min="3" max="3" width="8" style="349" customWidth="1"/>
    <col min="4" max="4" width="27.44140625" style="349" customWidth="1"/>
    <col min="5" max="5" width="37.5546875" style="349" customWidth="1"/>
    <col min="6" max="6" width="8.5546875" style="349" customWidth="1"/>
    <col min="7" max="7" width="6.88671875" style="349" customWidth="1"/>
    <col min="8" max="8" width="8.5546875" style="349" customWidth="1"/>
    <col min="9" max="9" width="8.5546875" style="357" customWidth="1"/>
    <col min="10" max="10" width="8.5546875" style="349" customWidth="1"/>
    <col min="11" max="11" width="10" style="349" customWidth="1"/>
    <col min="12" max="12" width="9" style="349" customWidth="1"/>
    <col min="13" max="13" width="7.88671875" style="349" customWidth="1"/>
    <col min="14" max="14" width="6.88671875" style="490" customWidth="1"/>
    <col min="15" max="15" width="11.88671875" style="349" customWidth="1"/>
    <col min="16" max="16" width="5.44140625" style="349" customWidth="1"/>
    <col min="17" max="17" width="9.44140625" style="349" hidden="1" customWidth="1"/>
    <col min="18" max="18" width="17.6640625" style="349" customWidth="1"/>
    <col min="19" max="19" width="17" style="349" customWidth="1"/>
    <col min="20" max="20" width="16.44140625" style="349" customWidth="1"/>
    <col min="21" max="21" width="6.5546875" style="349" customWidth="1"/>
    <col min="22" max="22" width="12.44140625" style="349" customWidth="1"/>
    <col min="23" max="23" width="6.5546875" style="349" customWidth="1"/>
    <col min="24" max="24" width="12.5546875" style="349" customWidth="1"/>
    <col min="25" max="25" width="19.88671875" style="337" customWidth="1"/>
    <col min="26" max="29" width="11.44140625" style="349" customWidth="1"/>
    <col min="30" max="30" width="13.88671875" style="347" customWidth="1"/>
    <col min="31" max="31" width="14.44140625" style="347" customWidth="1"/>
    <col min="32" max="32" width="11.109375" style="348" customWidth="1"/>
    <col min="33" max="33" width="12.5546875" style="377" customWidth="1"/>
    <col min="34" max="34" width="13" style="377" customWidth="1"/>
    <col min="35" max="40" width="12.44140625" style="377" customWidth="1"/>
    <col min="41" max="41" width="15.44140625" style="377" customWidth="1"/>
    <col min="42" max="42" width="8.109375" style="377" customWidth="1"/>
    <col min="43" max="43" width="15.44140625" style="377" customWidth="1"/>
    <col min="44" max="44" width="6.5546875" style="377" customWidth="1"/>
    <col min="45" max="45" width="13.44140625" style="377" customWidth="1"/>
    <col min="46" max="46" width="11.88671875" style="377" customWidth="1"/>
    <col min="47" max="48" width="13" style="377" customWidth="1"/>
    <col min="49" max="49" width="13.44140625" style="377" customWidth="1"/>
    <col min="50" max="50" width="13.5546875" style="377" customWidth="1"/>
    <col min="51" max="51" width="23.5546875" style="377" customWidth="1"/>
    <col min="52" max="52" width="18.109375" style="377" customWidth="1"/>
    <col min="53" max="53" width="13.5546875" style="377" customWidth="1"/>
    <col min="54" max="54" width="14.88671875" style="377" customWidth="1"/>
    <col min="55" max="55" width="13" style="377" customWidth="1"/>
    <col min="56" max="56" width="14.44140625" style="377" customWidth="1"/>
    <col min="57" max="58" width="15.109375" style="377" customWidth="1"/>
    <col min="59" max="59" width="16.44140625" style="377" customWidth="1"/>
    <col min="60" max="60" width="11.44140625" style="377" customWidth="1"/>
    <col min="61" max="61" width="13" style="377" customWidth="1"/>
    <col min="62" max="62" width="20.44140625" style="377" customWidth="1"/>
    <col min="63" max="65" width="14.44140625" style="377" customWidth="1"/>
    <col min="66" max="68" width="17.5546875" style="377" customWidth="1"/>
    <col min="69" max="72" width="16.109375" style="377" customWidth="1"/>
    <col min="73" max="75" width="14.5546875" style="377" customWidth="1"/>
    <col min="76" max="76" width="18.5546875" style="377" customWidth="1"/>
    <col min="77" max="78" width="14.5546875" style="377" customWidth="1"/>
    <col min="79" max="79" width="14.5546875" style="378" customWidth="1"/>
    <col min="80" max="80" width="17.88671875" style="378" customWidth="1"/>
    <col min="81" max="82" width="18.44140625" style="378" customWidth="1"/>
    <col min="83" max="83" width="18.44140625" style="379" customWidth="1"/>
    <col min="84" max="84" width="11.5546875" style="377" customWidth="1"/>
    <col min="85" max="87" width="11.44140625" style="349" customWidth="1"/>
    <col min="88" max="16384" width="11.44140625" style="349"/>
  </cols>
  <sheetData>
    <row r="1" spans="2:84" ht="18" customHeight="1" x14ac:dyDescent="0.25">
      <c r="C1" s="778"/>
      <c r="D1" s="778"/>
      <c r="E1" s="778"/>
      <c r="F1" s="778"/>
      <c r="G1" s="778"/>
      <c r="H1" s="779"/>
      <c r="I1" s="780"/>
      <c r="J1" s="780"/>
      <c r="K1" s="780"/>
      <c r="L1" s="780"/>
      <c r="M1" s="780"/>
      <c r="N1" s="780"/>
      <c r="O1" s="780"/>
      <c r="P1" s="780"/>
      <c r="Q1" s="780"/>
      <c r="R1" s="780"/>
      <c r="S1" s="780"/>
      <c r="T1" s="780"/>
      <c r="U1" s="780"/>
      <c r="V1" s="780"/>
      <c r="W1" s="780"/>
      <c r="X1" s="780"/>
      <c r="Y1" s="780"/>
      <c r="AG1" s="376"/>
    </row>
    <row r="2" spans="2:84" ht="33" customHeight="1" x14ac:dyDescent="0.25">
      <c r="C2" s="778"/>
      <c r="D2" s="778"/>
      <c r="E2" s="778"/>
      <c r="F2" s="1862" t="e">
        <f>#REF!</f>
        <v>#REF!</v>
      </c>
      <c r="G2" s="1862"/>
      <c r="H2" s="1862"/>
      <c r="I2" s="1862"/>
      <c r="J2" s="1862"/>
      <c r="K2" s="1862"/>
      <c r="L2" s="1862"/>
      <c r="M2" s="1862"/>
      <c r="N2" s="1862"/>
      <c r="O2" s="1862"/>
      <c r="P2" s="1862"/>
      <c r="Q2" s="1862"/>
      <c r="R2" s="1862"/>
      <c r="S2" s="1862"/>
      <c r="T2" s="1862"/>
      <c r="U2" s="1862"/>
      <c r="V2" s="1862"/>
      <c r="W2" s="1862"/>
      <c r="X2" s="1862"/>
      <c r="Y2" s="1862"/>
      <c r="AG2" s="376"/>
    </row>
    <row r="3" spans="2:84" ht="21" customHeight="1" x14ac:dyDescent="0.25">
      <c r="C3" s="778"/>
      <c r="D3" s="778"/>
      <c r="E3" s="778"/>
      <c r="F3" s="1863" t="e">
        <f>#REF!</f>
        <v>#REF!</v>
      </c>
      <c r="G3" s="1863"/>
      <c r="H3" s="1863"/>
      <c r="I3" s="1863"/>
      <c r="J3" s="1863"/>
      <c r="K3" s="1863"/>
      <c r="L3" s="1863"/>
      <c r="M3" s="1863"/>
      <c r="N3" s="1863"/>
      <c r="O3" s="1863"/>
      <c r="P3" s="1863"/>
      <c r="Q3" s="1863"/>
      <c r="R3" s="1863"/>
      <c r="S3" s="1863"/>
      <c r="T3" s="1863"/>
      <c r="U3" s="1863"/>
      <c r="V3" s="1863"/>
      <c r="W3" s="1863"/>
      <c r="X3" s="1863"/>
      <c r="Y3" s="1863"/>
      <c r="AA3" s="1896" t="s">
        <v>742</v>
      </c>
      <c r="AB3" s="381" t="s">
        <v>601</v>
      </c>
      <c r="AD3" s="1868" t="s">
        <v>1160</v>
      </c>
      <c r="AE3" s="381" t="s">
        <v>601</v>
      </c>
      <c r="AF3" s="1868" t="s">
        <v>1161</v>
      </c>
      <c r="AG3" s="381" t="s">
        <v>359</v>
      </c>
      <c r="AH3" s="1868" t="s">
        <v>1162</v>
      </c>
      <c r="AI3" s="381" t="s">
        <v>361</v>
      </c>
      <c r="AJ3" s="1868" t="s">
        <v>1163</v>
      </c>
      <c r="AK3" s="339">
        <f>+COUNTIF($AD$16:$AD17,2)</f>
        <v>1</v>
      </c>
      <c r="AL3" s="339">
        <f>+COUNTIF($AD$18:$AD34,2)</f>
        <v>15</v>
      </c>
      <c r="AM3" s="339">
        <f>+AK4-1</f>
        <v>0</v>
      </c>
      <c r="AN3" s="381" t="s">
        <v>362</v>
      </c>
      <c r="AO3" s="1868" t="s">
        <v>1164</v>
      </c>
      <c r="AP3" s="381" t="s">
        <v>355</v>
      </c>
      <c r="AR3" s="1868" t="s">
        <v>1165</v>
      </c>
      <c r="AS3" s="381" t="s">
        <v>1166</v>
      </c>
      <c r="AT3" s="1868" t="s">
        <v>1167</v>
      </c>
      <c r="AU3" s="381" t="s">
        <v>357</v>
      </c>
      <c r="AV3" s="1868" t="s">
        <v>1168</v>
      </c>
      <c r="AW3" s="1902">
        <f>+'PÉRDIDAS ECONO Cu'!$BE$3</f>
        <v>90</v>
      </c>
      <c r="AX3" s="1868" t="s">
        <v>376</v>
      </c>
      <c r="AY3" s="1902">
        <f>+'PÉRDIDAS ECONO Cu'!$BG$3</f>
        <v>35</v>
      </c>
      <c r="AZ3" s="1906"/>
      <c r="BA3" s="1868" t="s">
        <v>1169</v>
      </c>
      <c r="BB3" s="383"/>
      <c r="BC3" s="1868" t="s">
        <v>1170</v>
      </c>
      <c r="BD3" s="381" t="s">
        <v>601</v>
      </c>
      <c r="BE3" s="1868" t="s">
        <v>1171</v>
      </c>
      <c r="BF3" s="383" t="s">
        <v>368</v>
      </c>
      <c r="BG3" s="1868" t="s">
        <v>1172</v>
      </c>
      <c r="BH3" s="383" t="s">
        <v>371</v>
      </c>
      <c r="BI3" s="1868" t="s">
        <v>1173</v>
      </c>
      <c r="BJ3" s="383" t="s">
        <v>373</v>
      </c>
      <c r="BK3" s="1868" t="s">
        <v>1174</v>
      </c>
      <c r="BL3" s="1923">
        <f>+'PÉRDIDAS ECONO Cu'!$BT$3</f>
        <v>20</v>
      </c>
    </row>
    <row r="4" spans="2:84" ht="12" customHeight="1" x14ac:dyDescent="0.25">
      <c r="C4" s="778"/>
      <c r="D4" s="778"/>
      <c r="E4" s="778"/>
      <c r="F4" s="1376" t="s">
        <v>3</v>
      </c>
      <c r="G4" s="1863">
        <f>'PORTADA '!R6</f>
        <v>0</v>
      </c>
      <c r="H4" s="1863"/>
      <c r="I4" s="1863"/>
      <c r="J4" s="1863"/>
      <c r="K4" s="1863"/>
      <c r="L4" s="1863"/>
      <c r="M4" s="1863"/>
      <c r="N4" s="1863"/>
      <c r="O4" s="1863"/>
      <c r="P4" s="1863"/>
      <c r="Q4" s="1863"/>
      <c r="R4" s="1863"/>
      <c r="S4" s="1863"/>
      <c r="T4" s="1863"/>
      <c r="U4" s="1863"/>
      <c r="V4" s="1863"/>
      <c r="W4" s="1863"/>
      <c r="X4" s="1863"/>
      <c r="Y4" s="1863"/>
      <c r="AA4" s="1896"/>
      <c r="AB4" s="1897">
        <f>IF(AB3="Cu",Listas!$D$51,IF(AB3="Al",Listas!D53,))</f>
        <v>3.0300000000000001E-9</v>
      </c>
      <c r="AD4" s="1868"/>
      <c r="AE4" s="1897">
        <f>IF(AE3="Cu",Listas!$D$62,IF(AE3="Al",Listas!D63,))</f>
        <v>3.03E-8</v>
      </c>
      <c r="AF4" s="1868"/>
      <c r="AG4" s="1911">
        <v>0</v>
      </c>
      <c r="AH4" s="1868"/>
      <c r="AI4" s="1913">
        <f>(1-(($BF$4)^($BL$3)))/(1-$BF$4)</f>
        <v>20.127721999849648</v>
      </c>
      <c r="AJ4" s="1868"/>
      <c r="AK4" s="385">
        <f>+'CÁLCULO CONDUCTORES DE MT'!$B$14</f>
        <v>1</v>
      </c>
      <c r="AL4" s="385">
        <f>+'H2-CONDUCTORES DE BT'!$B$14</f>
        <v>9</v>
      </c>
      <c r="AM4" s="385">
        <v>17</v>
      </c>
      <c r="AN4" s="1915">
        <v>0.05</v>
      </c>
      <c r="AO4" s="1868"/>
      <c r="AP4" s="1906">
        <f>+'PÉRDIDAS ECONO Cu'!$AX$4</f>
        <v>730</v>
      </c>
      <c r="AR4" s="1868"/>
      <c r="AS4" s="1906">
        <v>1</v>
      </c>
      <c r="AT4" s="1868"/>
      <c r="AU4" s="383">
        <v>643</v>
      </c>
      <c r="AV4" s="1868"/>
      <c r="AW4" s="1902"/>
      <c r="AX4" s="1868"/>
      <c r="AY4" s="1902"/>
      <c r="AZ4" s="1907"/>
      <c r="BA4" s="1868"/>
      <c r="BB4" s="1917">
        <f>+($AW$3-$AY$3)/(3)+$AY$3</f>
        <v>53.333333333333329</v>
      </c>
      <c r="BC4" s="1868"/>
      <c r="BD4" s="1897">
        <f>IF(BD3="Cu",Listas!$D$57,IF(BD3="Al",Listas!$D$58,))</f>
        <v>4.0299999999999997E-3</v>
      </c>
      <c r="BE4" s="1868"/>
      <c r="BF4" s="1919">
        <f>+((1+$BH$4/1)^2*(1+$BJ$4/1))/(1+$AN$4/1)</f>
        <v>1.0006695238095238</v>
      </c>
      <c r="BG4" s="1868"/>
      <c r="BH4" s="1921">
        <f>+'PÉRDIDAS ECONO Cu'!$BP$4</f>
        <v>0.01</v>
      </c>
      <c r="BI4" s="1868"/>
      <c r="BJ4" s="1921">
        <f>+'PÉRDIDAS ECONO Cu'!$BR$4</f>
        <v>0.03</v>
      </c>
      <c r="BK4" s="1868"/>
      <c r="BL4" s="1923"/>
    </row>
    <row r="5" spans="2:84" ht="12" customHeight="1" x14ac:dyDescent="0.25">
      <c r="C5" s="778"/>
      <c r="D5" s="778"/>
      <c r="E5" s="778"/>
      <c r="F5" s="1376" t="s">
        <v>4</v>
      </c>
      <c r="G5" s="1553">
        <f>'PORTADA '!X6</f>
        <v>46007</v>
      </c>
      <c r="H5" s="1554"/>
      <c r="I5" s="1554"/>
      <c r="J5" s="1554"/>
      <c r="K5" s="1554"/>
      <c r="L5" s="1553"/>
      <c r="M5" s="1554"/>
      <c r="N5" s="1554"/>
      <c r="O5" s="1554"/>
      <c r="P5" s="1554"/>
      <c r="Q5" s="1553"/>
      <c r="R5" s="1554"/>
      <c r="S5" s="1554"/>
      <c r="T5" s="1554"/>
      <c r="U5" s="1554"/>
      <c r="V5" s="1553"/>
      <c r="W5" s="1554"/>
      <c r="X5" s="1553"/>
      <c r="Y5" s="1554"/>
      <c r="AA5" s="1896"/>
      <c r="AB5" s="1898"/>
      <c r="AD5" s="1868"/>
      <c r="AE5" s="1898"/>
      <c r="AF5" s="1868"/>
      <c r="AG5" s="1912"/>
      <c r="AH5" s="1868"/>
      <c r="AI5" s="1914"/>
      <c r="AJ5" s="1868"/>
      <c r="AN5" s="1916"/>
      <c r="AO5" s="1868"/>
      <c r="AP5" s="1908"/>
      <c r="AR5" s="1868"/>
      <c r="AS5" s="1908"/>
      <c r="AT5" s="1868"/>
      <c r="AU5" s="390">
        <f>+AU4/1000</f>
        <v>0.64300000000000002</v>
      </c>
      <c r="AV5" s="1868"/>
      <c r="AW5" s="1902"/>
      <c r="AX5" s="1868"/>
      <c r="AY5" s="1902"/>
      <c r="AZ5" s="1908"/>
      <c r="BA5" s="1868"/>
      <c r="BB5" s="1918"/>
      <c r="BC5" s="1868"/>
      <c r="BD5" s="1898"/>
      <c r="BE5" s="1868"/>
      <c r="BF5" s="1920"/>
      <c r="BG5" s="1868"/>
      <c r="BH5" s="1922"/>
      <c r="BI5" s="1868"/>
      <c r="BJ5" s="1922"/>
      <c r="BK5" s="1868"/>
      <c r="BL5" s="1923"/>
    </row>
    <row r="6" spans="2:84" ht="23.25" customHeight="1" x14ac:dyDescent="0.25">
      <c r="C6" s="778"/>
      <c r="D6" s="778"/>
      <c r="E6" s="778"/>
      <c r="F6" s="778"/>
      <c r="G6" s="778"/>
      <c r="H6" s="781"/>
      <c r="I6" s="283"/>
      <c r="J6" s="283"/>
      <c r="K6" s="283"/>
      <c r="L6" s="283"/>
      <c r="M6" s="283"/>
      <c r="N6" s="283"/>
      <c r="O6" s="283"/>
      <c r="P6" s="283"/>
      <c r="Q6" s="237"/>
      <c r="R6" s="237"/>
      <c r="S6" s="237"/>
      <c r="T6" s="782"/>
      <c r="U6" s="782"/>
      <c r="V6" s="782"/>
      <c r="W6" s="782"/>
      <c r="X6" s="782"/>
      <c r="Y6" s="782"/>
      <c r="AD6" s="377"/>
      <c r="AE6" s="377"/>
      <c r="AF6" s="377"/>
    </row>
    <row r="7" spans="2:84" s="397" customFormat="1" ht="11.25" customHeight="1" thickBot="1" x14ac:dyDescent="0.25">
      <c r="C7" s="395"/>
      <c r="D7" s="395"/>
      <c r="E7" s="395"/>
      <c r="F7" s="395"/>
      <c r="G7" s="395"/>
      <c r="H7" s="395"/>
      <c r="I7" s="396"/>
      <c r="J7" s="395"/>
      <c r="K7" s="395"/>
      <c r="L7" s="395"/>
      <c r="M7" s="395"/>
      <c r="N7" s="395"/>
      <c r="O7" s="395"/>
      <c r="Q7" s="395"/>
      <c r="R7" s="395"/>
      <c r="S7" s="395"/>
      <c r="T7" s="395"/>
      <c r="U7" s="395"/>
      <c r="V7" s="395"/>
      <c r="W7" s="395"/>
      <c r="X7" s="395"/>
      <c r="Y7" s="337"/>
      <c r="AD7" s="351"/>
      <c r="AE7" s="351"/>
      <c r="AF7" s="351"/>
      <c r="AG7" s="1893" t="s">
        <v>1175</v>
      </c>
      <c r="AH7" s="1869" t="s">
        <v>1176</v>
      </c>
      <c r="AI7" s="1869" t="s">
        <v>1177</v>
      </c>
      <c r="AJ7" s="1869" t="s">
        <v>1162</v>
      </c>
      <c r="AK7" s="1890" t="s">
        <v>1178</v>
      </c>
      <c r="AL7" s="1890" t="s">
        <v>1178</v>
      </c>
      <c r="AM7" s="1890" t="s">
        <v>1178</v>
      </c>
      <c r="AN7" s="1869" t="s">
        <v>1179</v>
      </c>
      <c r="AO7" s="1869" t="s">
        <v>1180</v>
      </c>
      <c r="AP7" s="1893" t="s">
        <v>1175</v>
      </c>
      <c r="AQ7" s="1869" t="s">
        <v>1181</v>
      </c>
      <c r="AR7" s="1893" t="s">
        <v>1175</v>
      </c>
      <c r="AS7" s="1869" t="s">
        <v>1182</v>
      </c>
      <c r="AT7" s="1869" t="s">
        <v>1183</v>
      </c>
      <c r="AU7" s="1869" t="s">
        <v>1184</v>
      </c>
      <c r="AV7" s="1869" t="s">
        <v>1183</v>
      </c>
      <c r="AW7" s="1869" t="s">
        <v>1185</v>
      </c>
      <c r="AX7" s="1869" t="s">
        <v>1186</v>
      </c>
      <c r="AY7" s="1869" t="s">
        <v>1187</v>
      </c>
      <c r="AZ7" s="1869" t="s">
        <v>1188</v>
      </c>
      <c r="BA7" s="1869" t="s">
        <v>1189</v>
      </c>
      <c r="BB7" s="1869" t="s">
        <v>1190</v>
      </c>
      <c r="BC7" s="1869" t="s">
        <v>1191</v>
      </c>
      <c r="BD7" s="1869" t="s">
        <v>1192</v>
      </c>
      <c r="BE7" s="1869" t="s">
        <v>1193</v>
      </c>
      <c r="BF7" s="1869" t="s">
        <v>1194</v>
      </c>
      <c r="BG7" s="1869" t="s">
        <v>1195</v>
      </c>
      <c r="BH7" s="1869" t="s">
        <v>1196</v>
      </c>
      <c r="BI7" s="1869" t="s">
        <v>1197</v>
      </c>
      <c r="BJ7" s="1869" t="s">
        <v>1198</v>
      </c>
      <c r="BK7" s="1869" t="s">
        <v>1199</v>
      </c>
      <c r="BL7" s="1869" t="s">
        <v>1200</v>
      </c>
      <c r="BM7" s="1903" t="s">
        <v>1201</v>
      </c>
      <c r="BN7" s="1903" t="s">
        <v>1202</v>
      </c>
      <c r="BO7" s="1903" t="s">
        <v>1203</v>
      </c>
      <c r="BP7" s="1872" t="s">
        <v>1204</v>
      </c>
      <c r="BQ7" s="1872" t="s">
        <v>1205</v>
      </c>
      <c r="BR7" s="1872" t="s">
        <v>1206</v>
      </c>
      <c r="BS7" s="1872" t="s">
        <v>1207</v>
      </c>
      <c r="BT7" s="1869" t="s">
        <v>1208</v>
      </c>
      <c r="BU7" s="1872" t="s">
        <v>1205</v>
      </c>
      <c r="BV7" s="1872" t="s">
        <v>1206</v>
      </c>
      <c r="BW7" s="1872" t="s">
        <v>1209</v>
      </c>
      <c r="BX7" s="1869" t="s">
        <v>1208</v>
      </c>
      <c r="BY7" s="1872" t="s">
        <v>1205</v>
      </c>
      <c r="BZ7" s="1872" t="s">
        <v>1206</v>
      </c>
      <c r="CA7" s="1872" t="s">
        <v>1210</v>
      </c>
      <c r="CB7" s="1869" t="s">
        <v>1208</v>
      </c>
      <c r="CC7" s="1872" t="s">
        <v>1211</v>
      </c>
      <c r="CD7" s="1872" t="s">
        <v>1212</v>
      </c>
      <c r="CE7" s="1872" t="s">
        <v>1213</v>
      </c>
      <c r="CF7" s="1872" t="s">
        <v>1214</v>
      </c>
    </row>
    <row r="8" spans="2:84" s="355" customFormat="1" ht="21.75" customHeight="1" x14ac:dyDescent="0.25">
      <c r="C8" s="1013" t="s">
        <v>441</v>
      </c>
      <c r="D8" s="1013" t="s">
        <v>442</v>
      </c>
      <c r="E8" s="1013" t="s">
        <v>443</v>
      </c>
      <c r="F8" s="1750" t="s">
        <v>444</v>
      </c>
      <c r="G8" s="1750"/>
      <c r="H8" s="1013" t="s">
        <v>445</v>
      </c>
      <c r="I8" s="1013" t="s">
        <v>446</v>
      </c>
      <c r="J8" s="1013" t="s">
        <v>447</v>
      </c>
      <c r="K8" s="1013" t="s">
        <v>448</v>
      </c>
      <c r="L8" s="1013" t="s">
        <v>449</v>
      </c>
      <c r="M8" s="1013" t="s">
        <v>450</v>
      </c>
      <c r="N8" s="1013" t="s">
        <v>451</v>
      </c>
      <c r="O8" s="1013" t="s">
        <v>452</v>
      </c>
      <c r="P8" s="1013" t="s">
        <v>453</v>
      </c>
      <c r="Q8" s="1013"/>
      <c r="R8" s="1013" t="s">
        <v>454</v>
      </c>
      <c r="S8" s="1013" t="s">
        <v>455</v>
      </c>
      <c r="T8" s="1013" t="s">
        <v>456</v>
      </c>
      <c r="U8" s="1013" t="s">
        <v>457</v>
      </c>
      <c r="V8" s="1013" t="s">
        <v>458</v>
      </c>
      <c r="W8" s="1013" t="s">
        <v>459</v>
      </c>
      <c r="X8" s="1013" t="s">
        <v>460</v>
      </c>
      <c r="Y8" s="1013" t="s">
        <v>461</v>
      </c>
      <c r="Z8" s="813" t="s">
        <v>462</v>
      </c>
      <c r="AA8" s="354" t="s">
        <v>463</v>
      </c>
      <c r="AB8" s="354" t="s">
        <v>464</v>
      </c>
      <c r="AC8" s="354" t="s">
        <v>465</v>
      </c>
      <c r="AD8" s="354" t="s">
        <v>466</v>
      </c>
      <c r="AE8" s="354" t="s">
        <v>467</v>
      </c>
      <c r="AF8" s="354" t="s">
        <v>468</v>
      </c>
      <c r="AG8" s="1894"/>
      <c r="AH8" s="1870"/>
      <c r="AI8" s="1870"/>
      <c r="AJ8" s="1870"/>
      <c r="AK8" s="1891"/>
      <c r="AL8" s="1891"/>
      <c r="AM8" s="1891"/>
      <c r="AN8" s="1870"/>
      <c r="AO8" s="1870"/>
      <c r="AP8" s="1894"/>
      <c r="AQ8" s="1870"/>
      <c r="AR8" s="1894"/>
      <c r="AS8" s="1870"/>
      <c r="AT8" s="1870"/>
      <c r="AU8" s="1870"/>
      <c r="AV8" s="1870"/>
      <c r="AW8" s="1870"/>
      <c r="AX8" s="1870"/>
      <c r="AY8" s="1870"/>
      <c r="AZ8" s="1870"/>
      <c r="BA8" s="1870"/>
      <c r="BB8" s="1870"/>
      <c r="BC8" s="1870"/>
      <c r="BD8" s="1870"/>
      <c r="BE8" s="1870"/>
      <c r="BF8" s="1870"/>
      <c r="BG8" s="1870"/>
      <c r="BH8" s="1870"/>
      <c r="BI8" s="1870"/>
      <c r="BJ8" s="1870"/>
      <c r="BK8" s="1870"/>
      <c r="BL8" s="1870"/>
      <c r="BM8" s="1904"/>
      <c r="BN8" s="1904"/>
      <c r="BO8" s="1904"/>
      <c r="BP8" s="1872"/>
      <c r="BQ8" s="1872"/>
      <c r="BR8" s="1872"/>
      <c r="BS8" s="1872"/>
      <c r="BT8" s="1870"/>
      <c r="BU8" s="1872"/>
      <c r="BV8" s="1872"/>
      <c r="BW8" s="1872"/>
      <c r="BX8" s="1870"/>
      <c r="BY8" s="1872"/>
      <c r="BZ8" s="1872"/>
      <c r="CA8" s="1872"/>
      <c r="CB8" s="1870"/>
      <c r="CC8" s="1872"/>
      <c r="CD8" s="1872"/>
      <c r="CE8" s="1872"/>
      <c r="CF8" s="1872"/>
    </row>
    <row r="9" spans="2:84" s="357" customFormat="1" ht="19.5" customHeight="1" x14ac:dyDescent="0.25">
      <c r="C9" s="1856" t="s">
        <v>0</v>
      </c>
      <c r="D9" s="1858" t="s">
        <v>1066</v>
      </c>
      <c r="E9" s="1858" t="s">
        <v>508</v>
      </c>
      <c r="F9" s="1858" t="s">
        <v>1215</v>
      </c>
      <c r="G9" s="1858"/>
      <c r="H9" s="1858" t="s">
        <v>512</v>
      </c>
      <c r="I9" s="1858"/>
      <c r="J9" s="1860" t="s">
        <v>513</v>
      </c>
      <c r="K9" s="1860" t="s">
        <v>1216</v>
      </c>
      <c r="L9" s="1860" t="s">
        <v>1073</v>
      </c>
      <c r="M9" s="1652" t="s">
        <v>1217</v>
      </c>
      <c r="N9" s="1667" t="s">
        <v>1080</v>
      </c>
      <c r="O9" s="1768" t="s">
        <v>1218</v>
      </c>
      <c r="P9" s="1768" t="s">
        <v>1078</v>
      </c>
      <c r="Q9" s="1005"/>
      <c r="R9" s="1768" t="s">
        <v>1219</v>
      </c>
      <c r="S9" s="1768" t="s">
        <v>1220</v>
      </c>
      <c r="T9" s="1768" t="s">
        <v>1213</v>
      </c>
      <c r="U9" s="1667" t="s">
        <v>1080</v>
      </c>
      <c r="V9" s="1768" t="s">
        <v>1180</v>
      </c>
      <c r="W9" s="1667" t="s">
        <v>1080</v>
      </c>
      <c r="X9" s="1768" t="s">
        <v>1181</v>
      </c>
      <c r="Y9" s="1768" t="s">
        <v>1221</v>
      </c>
      <c r="Z9" s="1876" t="s">
        <v>1080</v>
      </c>
      <c r="AA9" s="1762" t="s">
        <v>1081</v>
      </c>
      <c r="AB9" s="1775" t="s">
        <v>1082</v>
      </c>
      <c r="AC9" s="1762" t="s">
        <v>1083</v>
      </c>
      <c r="AD9" s="1899" t="s">
        <v>1084</v>
      </c>
      <c r="AE9" s="1762" t="s">
        <v>1222</v>
      </c>
      <c r="AF9" s="1762" t="s">
        <v>1223</v>
      </c>
      <c r="AG9" s="1894"/>
      <c r="AH9" s="1870"/>
      <c r="AI9" s="1870"/>
      <c r="AJ9" s="1870"/>
      <c r="AK9" s="1891"/>
      <c r="AL9" s="1891"/>
      <c r="AM9" s="1891"/>
      <c r="AN9" s="1870"/>
      <c r="AO9" s="1870"/>
      <c r="AP9" s="1894"/>
      <c r="AQ9" s="1870"/>
      <c r="AR9" s="1894"/>
      <c r="AS9" s="1870"/>
      <c r="AT9" s="1870"/>
      <c r="AU9" s="1870"/>
      <c r="AV9" s="1870"/>
      <c r="AW9" s="1870"/>
      <c r="AX9" s="1870"/>
      <c r="AY9" s="1870"/>
      <c r="AZ9" s="1870"/>
      <c r="BA9" s="1870"/>
      <c r="BB9" s="1870"/>
      <c r="BC9" s="1870"/>
      <c r="BD9" s="1870"/>
      <c r="BE9" s="1870"/>
      <c r="BF9" s="1870"/>
      <c r="BG9" s="1870"/>
      <c r="BH9" s="1870"/>
      <c r="BI9" s="1870"/>
      <c r="BJ9" s="1870"/>
      <c r="BK9" s="1870"/>
      <c r="BL9" s="1870"/>
      <c r="BM9" s="1904"/>
      <c r="BN9" s="1904"/>
      <c r="BO9" s="1904"/>
      <c r="BP9" s="1872"/>
      <c r="BQ9" s="1872"/>
      <c r="BR9" s="1872"/>
      <c r="BS9" s="1872"/>
      <c r="BT9" s="1870"/>
      <c r="BU9" s="1872"/>
      <c r="BV9" s="1872"/>
      <c r="BW9" s="1872"/>
      <c r="BX9" s="1870"/>
      <c r="BY9" s="1872"/>
      <c r="BZ9" s="1872"/>
      <c r="CA9" s="1872"/>
      <c r="CB9" s="1870"/>
      <c r="CC9" s="1872"/>
      <c r="CD9" s="1872"/>
      <c r="CE9" s="1872"/>
      <c r="CF9" s="1872"/>
    </row>
    <row r="10" spans="2:84" s="357" customFormat="1" ht="20.25" customHeight="1" x14ac:dyDescent="0.25">
      <c r="C10" s="1856"/>
      <c r="D10" s="1858"/>
      <c r="E10" s="1858"/>
      <c r="F10" s="1858"/>
      <c r="G10" s="1858"/>
      <c r="H10" s="1858"/>
      <c r="I10" s="1858"/>
      <c r="J10" s="1860"/>
      <c r="K10" s="1860"/>
      <c r="L10" s="1860"/>
      <c r="M10" s="1652"/>
      <c r="N10" s="1667"/>
      <c r="O10" s="1768"/>
      <c r="P10" s="1768"/>
      <c r="Q10" s="1005"/>
      <c r="R10" s="1768"/>
      <c r="S10" s="1768"/>
      <c r="T10" s="1768"/>
      <c r="U10" s="1667"/>
      <c r="V10" s="1768"/>
      <c r="W10" s="1667"/>
      <c r="X10" s="1768"/>
      <c r="Y10" s="1768"/>
      <c r="Z10" s="1877"/>
      <c r="AA10" s="1762"/>
      <c r="AB10" s="1776"/>
      <c r="AC10" s="1762"/>
      <c r="AD10" s="1900"/>
      <c r="AE10" s="1762"/>
      <c r="AF10" s="1762"/>
      <c r="AG10" s="1894"/>
      <c r="AH10" s="1870"/>
      <c r="AI10" s="1870"/>
      <c r="AJ10" s="1870"/>
      <c r="AK10" s="1891"/>
      <c r="AL10" s="1891"/>
      <c r="AM10" s="1891"/>
      <c r="AN10" s="1870"/>
      <c r="AO10" s="1870"/>
      <c r="AP10" s="1894"/>
      <c r="AQ10" s="1870"/>
      <c r="AR10" s="1894"/>
      <c r="AS10" s="1870"/>
      <c r="AT10" s="1870"/>
      <c r="AU10" s="1870"/>
      <c r="AV10" s="1870"/>
      <c r="AW10" s="1870"/>
      <c r="AX10" s="1870"/>
      <c r="AY10" s="1870"/>
      <c r="AZ10" s="1870"/>
      <c r="BA10" s="1870"/>
      <c r="BB10" s="1870"/>
      <c r="BC10" s="1870"/>
      <c r="BD10" s="1870"/>
      <c r="BE10" s="1870"/>
      <c r="BF10" s="1870"/>
      <c r="BG10" s="1870"/>
      <c r="BH10" s="1870"/>
      <c r="BI10" s="1870"/>
      <c r="BJ10" s="1870"/>
      <c r="BK10" s="1870"/>
      <c r="BL10" s="1870"/>
      <c r="BM10" s="1904"/>
      <c r="BN10" s="1904"/>
      <c r="BO10" s="1904"/>
      <c r="BP10" s="1872"/>
      <c r="BQ10" s="1872"/>
      <c r="BR10" s="1872"/>
      <c r="BS10" s="1872"/>
      <c r="BT10" s="1870"/>
      <c r="BU10" s="1872"/>
      <c r="BV10" s="1872"/>
      <c r="BW10" s="1872"/>
      <c r="BX10" s="1870"/>
      <c r="BY10" s="1872"/>
      <c r="BZ10" s="1872"/>
      <c r="CA10" s="1872"/>
      <c r="CB10" s="1870"/>
      <c r="CC10" s="1872"/>
      <c r="CD10" s="1872"/>
      <c r="CE10" s="1872"/>
      <c r="CF10" s="1872"/>
    </row>
    <row r="11" spans="2:84" s="357" customFormat="1" ht="25.5" customHeight="1" x14ac:dyDescent="0.25">
      <c r="C11" s="1856"/>
      <c r="D11" s="1858"/>
      <c r="E11" s="1858"/>
      <c r="F11" s="1858"/>
      <c r="G11" s="1858"/>
      <c r="H11" s="1866" t="s">
        <v>552</v>
      </c>
      <c r="I11" s="1866" t="s">
        <v>1034</v>
      </c>
      <c r="J11" s="1860"/>
      <c r="K11" s="1860"/>
      <c r="L11" s="1860"/>
      <c r="M11" s="1652"/>
      <c r="N11" s="1667"/>
      <c r="O11" s="1768"/>
      <c r="P11" s="1768"/>
      <c r="Q11" s="1005"/>
      <c r="R11" s="1768"/>
      <c r="S11" s="1768"/>
      <c r="T11" s="1768"/>
      <c r="U11" s="1667"/>
      <c r="V11" s="1768"/>
      <c r="W11" s="1667"/>
      <c r="X11" s="1768"/>
      <c r="Y11" s="1768"/>
      <c r="Z11" s="1877"/>
      <c r="AA11" s="1762"/>
      <c r="AB11" s="1776"/>
      <c r="AC11" s="1762"/>
      <c r="AD11" s="1900"/>
      <c r="AE11" s="1762"/>
      <c r="AF11" s="1762"/>
      <c r="AG11" s="1894"/>
      <c r="AH11" s="1870"/>
      <c r="AI11" s="1870"/>
      <c r="AJ11" s="1870"/>
      <c r="AK11" s="1891"/>
      <c r="AL11" s="1891"/>
      <c r="AM11" s="1891"/>
      <c r="AN11" s="1870"/>
      <c r="AO11" s="1870"/>
      <c r="AP11" s="1894"/>
      <c r="AQ11" s="1870"/>
      <c r="AR11" s="1894"/>
      <c r="AS11" s="1870"/>
      <c r="AT11" s="1870"/>
      <c r="AU11" s="1870"/>
      <c r="AV11" s="1870"/>
      <c r="AW11" s="1870"/>
      <c r="AX11" s="1870"/>
      <c r="AY11" s="1870"/>
      <c r="AZ11" s="1870"/>
      <c r="BA11" s="1870"/>
      <c r="BB11" s="1870"/>
      <c r="BC11" s="1870"/>
      <c r="BD11" s="1870"/>
      <c r="BE11" s="1870"/>
      <c r="BF11" s="1870"/>
      <c r="BG11" s="1870"/>
      <c r="BH11" s="1870"/>
      <c r="BI11" s="1870"/>
      <c r="BJ11" s="1870"/>
      <c r="BK11" s="1870"/>
      <c r="BL11" s="1870"/>
      <c r="BM11" s="1904"/>
      <c r="BN11" s="1904"/>
      <c r="BO11" s="1904"/>
      <c r="BP11" s="1872"/>
      <c r="BQ11" s="1872"/>
      <c r="BR11" s="1872"/>
      <c r="BS11" s="1872"/>
      <c r="BT11" s="1870"/>
      <c r="BU11" s="1872"/>
      <c r="BV11" s="1872"/>
      <c r="BW11" s="1872"/>
      <c r="BX11" s="1870"/>
      <c r="BY11" s="1872"/>
      <c r="BZ11" s="1872"/>
      <c r="CA11" s="1872"/>
      <c r="CB11" s="1870"/>
      <c r="CC11" s="1872"/>
      <c r="CD11" s="1872"/>
      <c r="CE11" s="1872"/>
      <c r="CF11" s="1872"/>
    </row>
    <row r="12" spans="2:84" s="357" customFormat="1" ht="19.5" customHeight="1" x14ac:dyDescent="0.25">
      <c r="C12" s="1856"/>
      <c r="D12" s="1858"/>
      <c r="E12" s="1858"/>
      <c r="F12" s="1858"/>
      <c r="G12" s="1858"/>
      <c r="H12" s="1866"/>
      <c r="I12" s="1866"/>
      <c r="J12" s="1860"/>
      <c r="K12" s="1860"/>
      <c r="L12" s="1860"/>
      <c r="M12" s="1652"/>
      <c r="N12" s="1667"/>
      <c r="O12" s="1768"/>
      <c r="P12" s="1768"/>
      <c r="Q12" s="1005"/>
      <c r="R12" s="1768"/>
      <c r="S12" s="1768"/>
      <c r="T12" s="1768"/>
      <c r="U12" s="1667"/>
      <c r="V12" s="1768"/>
      <c r="W12" s="1667"/>
      <c r="X12" s="1768"/>
      <c r="Y12" s="1768"/>
      <c r="Z12" s="1877"/>
      <c r="AA12" s="1762"/>
      <c r="AB12" s="1776"/>
      <c r="AC12" s="1762"/>
      <c r="AD12" s="1900"/>
      <c r="AE12" s="1762"/>
      <c r="AF12" s="1762"/>
      <c r="AG12" s="1894"/>
      <c r="AH12" s="1870"/>
      <c r="AI12" s="1870"/>
      <c r="AJ12" s="1870"/>
      <c r="AK12" s="1891"/>
      <c r="AL12" s="1891"/>
      <c r="AM12" s="1891"/>
      <c r="AN12" s="1870"/>
      <c r="AO12" s="1870"/>
      <c r="AP12" s="1894"/>
      <c r="AQ12" s="1870"/>
      <c r="AR12" s="1894"/>
      <c r="AS12" s="1870"/>
      <c r="AT12" s="1870"/>
      <c r="AU12" s="1870"/>
      <c r="AV12" s="1870"/>
      <c r="AW12" s="1870"/>
      <c r="AX12" s="1870"/>
      <c r="AY12" s="1870"/>
      <c r="AZ12" s="1870"/>
      <c r="BA12" s="1870"/>
      <c r="BB12" s="1870"/>
      <c r="BC12" s="1870"/>
      <c r="BD12" s="1870"/>
      <c r="BE12" s="1870"/>
      <c r="BF12" s="1870"/>
      <c r="BG12" s="1870"/>
      <c r="BH12" s="1870"/>
      <c r="BI12" s="1870"/>
      <c r="BJ12" s="1870"/>
      <c r="BK12" s="1870"/>
      <c r="BL12" s="1870"/>
      <c r="BM12" s="1904"/>
      <c r="BN12" s="1904"/>
      <c r="BO12" s="1904"/>
      <c r="BP12" s="1872"/>
      <c r="BQ12" s="1872"/>
      <c r="BR12" s="1872"/>
      <c r="BS12" s="1872"/>
      <c r="BT12" s="1870"/>
      <c r="BU12" s="1872"/>
      <c r="BV12" s="1872"/>
      <c r="BW12" s="1872"/>
      <c r="BX12" s="1870"/>
      <c r="BY12" s="1872"/>
      <c r="BZ12" s="1872"/>
      <c r="CA12" s="1872"/>
      <c r="CB12" s="1870"/>
      <c r="CC12" s="1872"/>
      <c r="CD12" s="1872"/>
      <c r="CE12" s="1872"/>
      <c r="CF12" s="1872"/>
    </row>
    <row r="13" spans="2:84" s="357" customFormat="1" ht="19.5" customHeight="1" x14ac:dyDescent="0.25">
      <c r="C13" s="1856"/>
      <c r="D13" s="1858"/>
      <c r="E13" s="1858"/>
      <c r="F13" s="1858"/>
      <c r="G13" s="1858"/>
      <c r="H13" s="1866"/>
      <c r="I13" s="1866"/>
      <c r="J13" s="1860"/>
      <c r="K13" s="1860"/>
      <c r="L13" s="1860"/>
      <c r="M13" s="1652"/>
      <c r="N13" s="1667"/>
      <c r="O13" s="1768"/>
      <c r="P13" s="1768"/>
      <c r="Q13" s="1005"/>
      <c r="R13" s="1768"/>
      <c r="S13" s="1768"/>
      <c r="T13" s="1768"/>
      <c r="U13" s="1667"/>
      <c r="V13" s="1768"/>
      <c r="W13" s="1667"/>
      <c r="X13" s="1768"/>
      <c r="Y13" s="1768"/>
      <c r="Z13" s="1877"/>
      <c r="AA13" s="1762"/>
      <c r="AB13" s="1776"/>
      <c r="AC13" s="1762"/>
      <c r="AD13" s="1901"/>
      <c r="AE13" s="1762"/>
      <c r="AF13" s="1762"/>
      <c r="AG13" s="1894"/>
      <c r="AH13" s="1870"/>
      <c r="AI13" s="1870"/>
      <c r="AJ13" s="1870"/>
      <c r="AK13" s="1891"/>
      <c r="AL13" s="1891"/>
      <c r="AM13" s="1891"/>
      <c r="AN13" s="1870"/>
      <c r="AO13" s="1870"/>
      <c r="AP13" s="1894"/>
      <c r="AQ13" s="1870"/>
      <c r="AR13" s="1894"/>
      <c r="AS13" s="1870"/>
      <c r="AT13" s="1870"/>
      <c r="AU13" s="1870"/>
      <c r="AV13" s="1870"/>
      <c r="AW13" s="1870"/>
      <c r="AX13" s="1870"/>
      <c r="AY13" s="1870"/>
      <c r="AZ13" s="1870"/>
      <c r="BA13" s="1870"/>
      <c r="BB13" s="1870"/>
      <c r="BC13" s="1870"/>
      <c r="BD13" s="1870"/>
      <c r="BE13" s="1870"/>
      <c r="BF13" s="1870"/>
      <c r="BG13" s="1870"/>
      <c r="BH13" s="1870"/>
      <c r="BI13" s="1870"/>
      <c r="BJ13" s="1870"/>
      <c r="BK13" s="1870"/>
      <c r="BL13" s="1870"/>
      <c r="BM13" s="1904"/>
      <c r="BN13" s="1904"/>
      <c r="BO13" s="1904"/>
      <c r="BP13" s="1872"/>
      <c r="BQ13" s="1872"/>
      <c r="BR13" s="1872"/>
      <c r="BS13" s="1872"/>
      <c r="BT13" s="1870"/>
      <c r="BU13" s="1872"/>
      <c r="BV13" s="1872"/>
      <c r="BW13" s="1872"/>
      <c r="BX13" s="1870"/>
      <c r="BY13" s="1872"/>
      <c r="BZ13" s="1872"/>
      <c r="CA13" s="1872"/>
      <c r="CB13" s="1870"/>
      <c r="CC13" s="1872"/>
      <c r="CD13" s="1872"/>
      <c r="CE13" s="1872"/>
      <c r="CF13" s="1872"/>
    </row>
    <row r="14" spans="2:84" s="357" customFormat="1" ht="16.5" customHeight="1" thickBot="1" x14ac:dyDescent="0.3">
      <c r="C14" s="1857"/>
      <c r="D14" s="1859"/>
      <c r="E14" s="1859"/>
      <c r="F14" s="1859"/>
      <c r="G14" s="1859"/>
      <c r="H14" s="1020" t="s">
        <v>583</v>
      </c>
      <c r="I14" s="1867"/>
      <c r="J14" s="1861"/>
      <c r="K14" s="1861"/>
      <c r="L14" s="1861"/>
      <c r="M14" s="1021" t="s">
        <v>582</v>
      </c>
      <c r="N14" s="1672"/>
      <c r="O14" s="1865"/>
      <c r="P14" s="1865"/>
      <c r="Q14" s="1021"/>
      <c r="R14" s="1865"/>
      <c r="S14" s="1865"/>
      <c r="T14" s="1865"/>
      <c r="U14" s="1672"/>
      <c r="V14" s="1022" t="s">
        <v>1224</v>
      </c>
      <c r="W14" s="1672"/>
      <c r="X14" s="1022" t="s">
        <v>1224</v>
      </c>
      <c r="Y14" s="1865"/>
      <c r="Z14" s="1878"/>
      <c r="AA14" s="1762"/>
      <c r="AB14" s="1777"/>
      <c r="AC14" s="1762"/>
      <c r="AD14" s="358" t="s">
        <v>587</v>
      </c>
      <c r="AE14" s="1762"/>
      <c r="AF14" s="1762"/>
      <c r="AG14" s="1895"/>
      <c r="AH14" s="1871"/>
      <c r="AI14" s="1871"/>
      <c r="AJ14" s="1871"/>
      <c r="AK14" s="1892"/>
      <c r="AL14" s="1892"/>
      <c r="AM14" s="1892"/>
      <c r="AN14" s="1871"/>
      <c r="AO14" s="1871"/>
      <c r="AP14" s="1895"/>
      <c r="AQ14" s="1871"/>
      <c r="AR14" s="1895"/>
      <c r="AS14" s="1871"/>
      <c r="AT14" s="1871"/>
      <c r="AU14" s="1871"/>
      <c r="AV14" s="1871"/>
      <c r="AW14" s="1871"/>
      <c r="AX14" s="1871"/>
      <c r="AY14" s="1871"/>
      <c r="AZ14" s="1871"/>
      <c r="BA14" s="1871"/>
      <c r="BB14" s="1871"/>
      <c r="BC14" s="1871"/>
      <c r="BD14" s="1871"/>
      <c r="BE14" s="1871"/>
      <c r="BF14" s="1871"/>
      <c r="BG14" s="1871"/>
      <c r="BH14" s="1871"/>
      <c r="BI14" s="1871"/>
      <c r="BJ14" s="1871"/>
      <c r="BK14" s="1871"/>
      <c r="BL14" s="1871"/>
      <c r="BM14" s="1905"/>
      <c r="BN14" s="1905"/>
      <c r="BO14" s="1905"/>
      <c r="BP14" s="1872"/>
      <c r="BQ14" s="1872"/>
      <c r="BR14" s="1872"/>
      <c r="BS14" s="1872"/>
      <c r="BT14" s="1871"/>
      <c r="BU14" s="1872"/>
      <c r="BV14" s="1872"/>
      <c r="BW14" s="1872"/>
      <c r="BX14" s="1871"/>
      <c r="BY14" s="1872"/>
      <c r="BZ14" s="1872"/>
      <c r="CA14" s="1872"/>
      <c r="CB14" s="1871"/>
      <c r="CC14" s="1872"/>
      <c r="CD14" s="1872"/>
      <c r="CE14" s="1872"/>
      <c r="CF14" s="1872"/>
    </row>
    <row r="15" spans="2:84" s="411" customFormat="1" ht="22.5" customHeight="1" thickBot="1" x14ac:dyDescent="0.3">
      <c r="C15" s="1015">
        <v>5</v>
      </c>
      <c r="D15" s="1864" t="s">
        <v>1225</v>
      </c>
      <c r="E15" s="1864"/>
      <c r="F15" s="1864"/>
      <c r="G15" s="1864"/>
      <c r="H15" s="1864"/>
      <c r="I15" s="1864"/>
      <c r="J15" s="1864"/>
      <c r="K15" s="1864"/>
      <c r="L15" s="1864"/>
      <c r="M15" s="1864"/>
      <c r="N15" s="1864"/>
      <c r="O15" s="1864"/>
      <c r="P15" s="1864"/>
      <c r="Q15" s="1864"/>
      <c r="R15" s="1864"/>
      <c r="S15" s="1864"/>
      <c r="T15" s="1864"/>
      <c r="U15" s="1864"/>
      <c r="V15" s="1864"/>
      <c r="W15" s="1864"/>
      <c r="X15" s="1864"/>
      <c r="Y15" s="1864"/>
      <c r="AD15" s="360"/>
      <c r="AE15" s="338"/>
      <c r="AF15" s="361"/>
      <c r="AG15" s="409"/>
      <c r="AH15" s="410"/>
      <c r="AI15" s="410"/>
      <c r="AJ15" s="410"/>
      <c r="AK15" s="410"/>
      <c r="AL15" s="410"/>
      <c r="AM15" s="410"/>
      <c r="AN15" s="410"/>
      <c r="AO15" s="410"/>
      <c r="AP15" s="410"/>
      <c r="AQ15" s="410"/>
      <c r="AR15" s="410"/>
      <c r="AS15" s="410"/>
      <c r="AT15" s="410"/>
      <c r="AU15" s="410"/>
      <c r="AV15" s="410"/>
      <c r="AW15" s="410"/>
      <c r="AX15" s="410"/>
      <c r="AY15" s="410"/>
      <c r="AZ15" s="410"/>
      <c r="BA15" s="410"/>
      <c r="BB15" s="410"/>
      <c r="BC15" s="410"/>
      <c r="BD15" s="410"/>
      <c r="BE15" s="410"/>
      <c r="BF15" s="410"/>
      <c r="BG15" s="410"/>
      <c r="BH15" s="410"/>
      <c r="BI15" s="410"/>
      <c r="BJ15" s="410"/>
      <c r="BK15" s="410"/>
      <c r="BL15" s="410"/>
      <c r="BM15" s="410"/>
      <c r="BN15" s="410"/>
      <c r="BO15" s="410"/>
      <c r="BP15" s="410"/>
      <c r="BQ15" s="410"/>
      <c r="BR15" s="410"/>
      <c r="BS15" s="410"/>
      <c r="BT15" s="410"/>
      <c r="BU15" s="410"/>
      <c r="BV15" s="410"/>
      <c r="BW15" s="410"/>
      <c r="BX15" s="410"/>
      <c r="BY15" s="410"/>
      <c r="BZ15" s="410"/>
      <c r="CA15" s="410"/>
      <c r="CB15" s="410"/>
      <c r="CC15" s="410"/>
      <c r="CD15" s="410"/>
      <c r="CE15" s="410"/>
      <c r="CF15" s="410"/>
    </row>
    <row r="16" spans="2:84" ht="23.4" customHeight="1" thickBot="1" x14ac:dyDescent="0.3">
      <c r="B16" s="344"/>
      <c r="C16" s="1023" t="s">
        <v>1226</v>
      </c>
      <c r="D16" s="1875" t="s">
        <v>1090</v>
      </c>
      <c r="E16" s="1875"/>
      <c r="F16" s="1875"/>
      <c r="G16" s="1875"/>
      <c r="H16" s="1875"/>
      <c r="I16" s="1875"/>
      <c r="J16" s="1875"/>
      <c r="K16" s="1875"/>
      <c r="L16" s="1875"/>
      <c r="M16" s="1875"/>
      <c r="N16" s="1875"/>
      <c r="O16" s="1875"/>
      <c r="P16" s="1875"/>
      <c r="Q16" s="1875"/>
      <c r="R16" s="1875"/>
      <c r="S16" s="1875"/>
      <c r="T16" s="1875"/>
      <c r="U16" s="1875"/>
      <c r="V16" s="1875"/>
      <c r="W16" s="1875"/>
      <c r="X16" s="1875"/>
      <c r="Y16" s="1875"/>
      <c r="AD16" s="340">
        <f t="shared" ref="AD16:AD19" si="0">LEN(C16)-LEN(SUBSTITUTE(C16,IF(ISNUMBER(FIND(".",C16)),".",","),""))</f>
        <v>1</v>
      </c>
      <c r="AE16" s="380"/>
      <c r="AF16" s="380"/>
      <c r="AG16" s="409"/>
      <c r="AH16" s="412"/>
      <c r="AI16" s="1882" t="s">
        <v>1227</v>
      </c>
      <c r="AJ16" s="1883"/>
      <c r="AK16" s="1883"/>
      <c r="AL16" s="1883"/>
      <c r="AM16" s="1883"/>
      <c r="AN16" s="1884"/>
      <c r="AO16" s="1885" t="s">
        <v>1228</v>
      </c>
      <c r="AP16" s="1886"/>
      <c r="AQ16" s="1885" t="s">
        <v>1229</v>
      </c>
      <c r="AR16" s="1886"/>
      <c r="AS16" s="413" t="s">
        <v>1230</v>
      </c>
      <c r="AT16" s="414" t="s">
        <v>346</v>
      </c>
      <c r="AU16" s="413" t="s">
        <v>1231</v>
      </c>
      <c r="AV16" s="414" t="s">
        <v>348</v>
      </c>
      <c r="AW16" s="414" t="s">
        <v>351</v>
      </c>
      <c r="AX16" s="413" t="s">
        <v>771</v>
      </c>
      <c r="AY16" s="413" t="s">
        <v>1232</v>
      </c>
      <c r="AZ16" s="413" t="s">
        <v>1233</v>
      </c>
      <c r="BA16" s="413" t="s">
        <v>1234</v>
      </c>
      <c r="BB16" s="414" t="s">
        <v>1235</v>
      </c>
      <c r="BC16" s="414" t="s">
        <v>1236</v>
      </c>
      <c r="BD16" s="414" t="s">
        <v>1237</v>
      </c>
      <c r="BE16" s="413" t="s">
        <v>1238</v>
      </c>
      <c r="BF16" s="413" t="s">
        <v>1239</v>
      </c>
      <c r="BG16" s="413" t="s">
        <v>1240</v>
      </c>
      <c r="BH16" s="413" t="s">
        <v>1241</v>
      </c>
      <c r="BI16" s="414" t="s">
        <v>1242</v>
      </c>
      <c r="BJ16" s="414" t="s">
        <v>1243</v>
      </c>
      <c r="BK16" s="1879" t="s">
        <v>1244</v>
      </c>
      <c r="BL16" s="1880"/>
      <c r="BM16" s="1881"/>
      <c r="BN16" s="1879" t="s">
        <v>1245</v>
      </c>
      <c r="BO16" s="1880"/>
      <c r="BP16" s="1881"/>
      <c r="BQ16" s="1887" t="s">
        <v>1246</v>
      </c>
      <c r="BR16" s="1888"/>
      <c r="BS16" s="1888"/>
      <c r="BT16" s="1889"/>
      <c r="BU16" s="1887" t="s">
        <v>1247</v>
      </c>
      <c r="BV16" s="1888"/>
      <c r="BW16" s="1888"/>
      <c r="BX16" s="1889"/>
      <c r="BY16" s="1887" t="s">
        <v>1248</v>
      </c>
      <c r="BZ16" s="1888"/>
      <c r="CA16" s="1888"/>
      <c r="CB16" s="1889"/>
      <c r="CC16" s="1879" t="s">
        <v>1249</v>
      </c>
      <c r="CD16" s="1880"/>
      <c r="CE16" s="1881"/>
      <c r="CF16" s="415"/>
    </row>
    <row r="17" spans="2:84" s="408" customFormat="1" ht="28.5" customHeight="1" thickBot="1" x14ac:dyDescent="0.3">
      <c r="B17" s="372">
        <f>+IF(OR(AD17=0,AD17=1),0,COUNTIF(AD$16:AD17,AD17))</f>
        <v>1</v>
      </c>
      <c r="C17" s="852" t="str">
        <f>+_xlfn.CONCAT($C$16,".",SUBTOTAL(103,$X$17:X17))</f>
        <v>5.1.1</v>
      </c>
      <c r="D17" s="1040" t="str">
        <f>+VLOOKUP(B17,'CÁLCULO CONDUCTORES DE MT'!$B$17:$BR$264,3,FALSE)</f>
        <v>SDT-8</v>
      </c>
      <c r="E17" s="1067" t="str">
        <f>+VLOOKUP(D17,'CÁLCULO CONDUCTORES DE MT'!$D$2:$CF$263,2,FALSE)</f>
        <v>TRANSFORMADOR DE DISTRIBUCIÓN</v>
      </c>
      <c r="F17" s="1147">
        <f>+VLOOKUP(D17,'CÁLCULO CONDUCTORES DE MT'!$D$2:$CF$263,5,FALSE)</f>
        <v>225</v>
      </c>
      <c r="G17" s="1072" t="str">
        <f>+VLOOKUP(D17,'CÁLCULO CONDUCTORES DE MT'!$D$2:$CF$263,6,FALSE)</f>
        <v>kVA</v>
      </c>
      <c r="H17" s="1148">
        <f>+VLOOKUP(D17,'CÁLCULO CONDUCTORES DE MT'!$D$2:$CF$263,7,FALSE)</f>
        <v>34500</v>
      </c>
      <c r="I17" s="1072">
        <f>+VLOOKUP(D17,'CÁLCULO CONDUCTORES DE MT'!$D$2:$CF$263,8,FALSE)</f>
        <v>3</v>
      </c>
      <c r="J17" s="1149">
        <f>+VLOOKUP(D17,'CÁLCULO CONDUCTORES DE MT'!$D$2:$CF$263,9,FALSE)</f>
        <v>0.80830156595608427</v>
      </c>
      <c r="K17" s="1150">
        <f>+VLOOKUP(D17,'CÁLCULO CONDUCTORES DE MT'!$D$2:$CF$263,12,FALSE)</f>
        <v>4.7125394554414752</v>
      </c>
      <c r="L17" s="1151">
        <f>+VLOOKUP(D17,'CÁLCULO CONDUCTORES DE MT'!$D$2:$CF$263,10,FALSE)</f>
        <v>0.98</v>
      </c>
      <c r="M17" s="1057">
        <f>+VLOOKUP(D17,'CÁLCULO CONDUCTORES DE MT'!$D$2:$CF$263,4,FALSE)</f>
        <v>4</v>
      </c>
      <c r="N17" s="1152">
        <f>+Z17</f>
        <v>1</v>
      </c>
      <c r="O17" s="1055" t="str">
        <f>+VLOOKUP(D17,'CÁLCULO CONDUCTORES DE MT'!$D$2:$CF$263,31,FALSE)</f>
        <v>1/0 AWG</v>
      </c>
      <c r="P17" s="1070" t="str">
        <f>IF(AE17="Cable Armado","Cu","Al")</f>
        <v>Al</v>
      </c>
      <c r="Q17" s="1153"/>
      <c r="R17" s="1154">
        <f>IF(AE17="Cable Armado",VLOOKUP(D17,'PÉRDIDAS ECONO Cu'!$C$3:$X$498,15,FALSE),CC17)</f>
        <v>315535.70021370548</v>
      </c>
      <c r="S17" s="1155">
        <f>IF(AE17="Cable Armado",VLOOKUP(D17,'PÉRDIDAS ECONO Cu'!$C$10:$X$498,16,FALSE),CD17)</f>
        <v>345331.83860260632</v>
      </c>
      <c r="T17" s="1155">
        <f>IF(AE17="Cable Armado",VLOOKUP(D17,'PÉRDIDAS ECONO Cu'!$C$10:$X$498,17,FALSE),CE17)</f>
        <v>8031.6550275935633</v>
      </c>
      <c r="U17" s="1156">
        <f>IF(AE17="Cable Armado",VLOOKUP(D17,'PÉRDIDAS ECONO Cu'!$C$10:$X$498,18,FALSE),Z17)</f>
        <v>1</v>
      </c>
      <c r="V17" s="1155" t="str">
        <f>IF(AE17="Cable Armado",VLOOKUP(D17,'PÉRDIDAS ECONO Cu'!$C$10:$X$498,19,FALSE),AO17)</f>
        <v>1/0 AWG</v>
      </c>
      <c r="W17" s="1156">
        <f>IF(AE17="Cable Armado",VLOOKUP(D17,'PÉRDIDAS ECONO Cu'!$C$10:$X$498,20,FALSE),Z17)</f>
        <v>1</v>
      </c>
      <c r="X17" s="1158" t="s">
        <v>814</v>
      </c>
      <c r="Y17" s="1157" t="str">
        <f>IF(AE17="Cable Armado",VLOOKUP(D17,'PÉRDIDAS ECONO Cu'!$C$10:$X$498,22,FALSE),IF(MIN(R17:T17)=T17,"OPCIÓN TÉCNICA",IF(MIN(R17:T17)=S17,"OPCIÓN 2","OPCIÓN 1")))</f>
        <v>OPCIÓN TÉCNICA</v>
      </c>
      <c r="Z17" s="499">
        <f>+VLOOKUP(D17,'CÁLCULO CONDUCTORES DE MT'!$D$2:$BE$263,32,FALSE)</f>
        <v>1</v>
      </c>
      <c r="AA17" s="343" t="str">
        <f>+VLOOKUP(D17,'CÁLCULO CONDUCTORES DE MT'!$D$2:$BE$263,31,FALSE)</f>
        <v>1/0 AWG</v>
      </c>
      <c r="AB17" s="343">
        <f>+Z17</f>
        <v>1</v>
      </c>
      <c r="AC17" s="343" t="str">
        <f>IF((VLOOKUP(D17,'CÁLCULO CONDUCTORES DE MT'!$D$2:$BE$263,47,FALSE))="No",LOOKUP((IF(VLOOKUP(D17,'CÁLCULO CONDUCTORES DE MT'!$D$2:$BE$263,15,FALSE)="VER NOTAS",15,VLOOKUP(D17,'CÁLCULO CONDUCTORES DE MT'!$D$2:$BE$263,15,FALSE))),CONDUCTORES!$A$111:$A$131,IF(VLOOKUP(D17,'CÁLCULO CONDUCTORES DE MT'!$D$2:$BE$263,35,FALSE)="Cu",CONDUCTORES!$B$111:$B$131,CONDUCTORES!$C$111:$C$131)),VLOOKUP(D17,'CÁLCULO CONDUCTORES DE MT'!$D$2:$BE$263,47,FALSE))</f>
        <v>10 AWG</v>
      </c>
      <c r="AD17" s="340">
        <f t="shared" si="0"/>
        <v>2</v>
      </c>
      <c r="AE17" s="341" t="str">
        <f>+VLOOKUP(D17,'CÁLCULO CONDUCTORES DE MT'!$D$2:$CF$263,33,FALSE)</f>
        <v>Desnudo</v>
      </c>
      <c r="AF17" s="531" t="str">
        <f>IF(AE17="Monopolar","N/A","")</f>
        <v/>
      </c>
      <c r="AG17" s="433">
        <f>IF(AE17="Cable Armado","",VLOOKUP(D17,'CÁLCULO CONDUCTORES DE MT'!$D$2:$CF$263,58,FALSE))</f>
        <v>16</v>
      </c>
      <c r="AH17" s="434">
        <f>IF(AE17="Cable Armado","",(IF(AND(H17&gt;=1000,H17&lt;=4160),VLOOKUP(AG17,'CONDCUTORES MT'!$A$20:$E$28,5,TRUE),IF(AND(H17&gt;=4161,H17&lt;=13800),VLOOKUP(AG17,'CONDCUTORES MT'!$A$33:$E$41,5,TRUE),VLOOKUP(AG17,'CONDCUTORES MT'!$A$46:$E$54,5,TRUE))))*(Z17))</f>
        <v>2669.481963589953</v>
      </c>
      <c r="AI17" s="435">
        <f>IF(AE17="Cable Armado","",(1000*((K17^2*AT17*$AB$4*AV17*(1+$BD$4*($BB$4-20)))/AW17)^0.5))</f>
        <v>9.2084375351171666</v>
      </c>
      <c r="AJ17" s="434">
        <v>1</v>
      </c>
      <c r="AK17" s="500"/>
      <c r="AL17" s="500"/>
      <c r="AM17" s="500"/>
      <c r="AN17" s="436">
        <f>IF(AE17="Cable Armado","",IF(AND(H17&gt;=1000,H17&lt;=4160),IF(AI17&lt;'CONDCUTORES MT'!$E$20,'CONDCUTORES MT'!$E$20,IF(AI17&lt;'CONDCUTORES MT'!$E$21,'CONDCUTORES MT'!$E$21,IF(AI17&lt;'CONDCUTORES MT'!$E$22,'CONDCUTORES MT'!$E$22,IF(AI17&lt;'CONDCUTORES MT'!$E$23,'CONDCUTORES MT'!$E$23,IF(AI17&lt;'CONDCUTORES MT'!$E$24,'CONDCUTORES MT'!$E$24,IF(AI17&lt;'CONDCUTORES MT'!$E$25,'CONDCUTORES MT'!$E$25,IF(AI17&lt;'CONDCUTORES MT'!$E$26,'CONDCUTORES MT'!$E$26,IF(AI17&lt;'CONDCUTORES MT'!$E$27,'CONDCUTORES MT'!$E$27,'CONDCUTORES MT'!$E$28)))))))),IF(AND(H17&gt;=4161,H17&lt;=13800),IF(AI17&lt;'CONDCUTORES MT'!$E$33,'CONDCUTORES MT'!$E$33,IF(AI17&lt;'CONDCUTORES MT'!$E$34,'CONDCUTORES MT'!$E$34,IF(AI17&lt;'CONDCUTORES MT'!$E$35,'CONDCUTORES MT'!$E$35,IF(AI17&lt;'CONDCUTORES MT'!$E$36,'CONDCUTORES MT'!$E$36,IF(AI17&lt;'CONDCUTORES MT'!$E$37,'CONDCUTORES MT'!$E$37,IF(AI17&lt;'CONDCUTORES MT'!$E$38,'CONDCUTORES MT'!$E$38,IF(AI17&lt;'CONDCUTORES MT'!$E$39,'CONDCUTORES MT'!$E$39,IF(AI17&lt;'CONDCUTORES MT'!$E$40,'CONDCUTORES MT'!$E$40,'CONDCUTORES MT'!$E$41)))))))),IF(AI17&lt;'CONDCUTORES MT'!$E$46,'CONDCUTORES MT'!$E$46,IF(AI17&lt;'CONDCUTORES MT'!$E$47,'CONDCUTORES MT'!$E$47,IF(AI17&lt;'CONDCUTORES MT'!$E$48,'CONDCUTORES MT'!$E$48,IF(AI17&lt;'CONDCUTORES MT'!$E$49,'CONDCUTORES MT'!$E$49,IF(AI17&lt;'CONDCUTORES MT'!$E$50,'CONDCUTORES MT'!$E$50,IF(AI17&lt;'CONDCUTORES MT'!$E$51,'CONDCUTORES MT'!$E$51,IF(AI17&lt;'CONDCUTORES MT'!$E$52,'CONDCUTORES MT'!$E$52,IF(AI17&lt;'CONDCUTORES MT'!$E$53,'CONDCUTORES MT'!$E$53,'CONDCUTORES MT'!$E$54)))))))))))</f>
        <v>1116.2785556551594</v>
      </c>
      <c r="AO17" s="437" t="str">
        <f>IF(AE17="Cable Armado","",IF(AND(H17&gt;=1000,H17&lt;=4160),IF(AN17&lt;390.57,"1/0 AWG",VLOOKUP(AN17,'CONDCUTORES MT'!$E$20:$Y$28,15,FALSE)),IF(AND(H17&gt;=4161,H17&lt;=13800),IF(AN17&lt;593.95,"1/0 AWG",VLOOKUP(AN17,'CONDCUTORES MT'!$E$33:$Y$41,15,FALSE)),IF(AN17&lt;1116.28,"1/0 AWG",VLOOKUP(AN17,'CONDCUTORES MT'!$E$46:$Y$54,15,FALSE)))))</f>
        <v>1/0 AWG</v>
      </c>
      <c r="AP17" s="437">
        <f>IF(AE17="Cable Armado","",VLOOKUP(AO17,'CONDCUTORES MT'!$S$20:$V$28,4,FALSE))</f>
        <v>7</v>
      </c>
      <c r="AQ17" s="437" t="str">
        <f>IF(AE17="Cable Armado","",IF(AND(I17&gt;=1000,I17&lt;=4160),VLOOKUP(AO17,'CONDCUTORES MT'!$B$20:$AA$28,25,TRUE),IF(AND(I17&gt;=4161,I17&lt;=13800),VLOOKUP(AO17,'CONDCUTORES MT'!$B$33:$AA$41,25,TRUE),VLOOKUP(AO17,'CONDCUTORES MT'!$B$46:$AA$54,25,TRUE))))</f>
        <v>2/0 AWG</v>
      </c>
      <c r="AR17" s="437">
        <f>IF(AE17="Cable Armado","",VLOOKUP(AQ17,'CONDCUTORES MT'!$S$20:$V$28,4,FALSE))</f>
        <v>8</v>
      </c>
      <c r="AS17" s="501">
        <f>IF(AE17="Cable Armado","",K17)</f>
        <v>4.7125394554414752</v>
      </c>
      <c r="AT17" s="502">
        <f>IF(AE17="Cable Armado","",($I17*$AS$4*($AP$4*$AU$5+$AG$4)*($AI$4/(1+($AN$4/1)))))</f>
        <v>26993.575512884076</v>
      </c>
      <c r="AU17" s="439">
        <f>IF(AE17="Cable Armado","",$AE$4)</f>
        <v>3.03E-8</v>
      </c>
      <c r="AV17" s="437">
        <f>IF(AE17="Cable Armado","",(1+BE17+BF17)*(1+BG17+BH17))</f>
        <v>1.0253118112555588</v>
      </c>
      <c r="AW17" s="440">
        <f>IF(AE17="Cable Armado","",IF(AE17="Desnudo",VLOOKUP(O17,COSTOS!$B$114:$G$122,6,FALSE),VLOOKUP(O17,COSTOS!$B$7:$G$21,6,FALSE)))</f>
        <v>24.913675479422938</v>
      </c>
      <c r="AX17" s="437">
        <f>IF(AE17="Cable Armado","",IF(AE17="Desnudo",(((2.5)/(18*LN((VLOOKUP(O17,'CONDCUTORES MT'!$B$7:$AB$15,27,FALSE))/(VLOOKUP(O17,'CONDCUTORES MT'!$B$7:$E$15,3,FALSE)))))*0.000000001),((2.5)/(18*LN((VLOOKUP(O17,CONDUCTORES!$B$9:$AF$23,24,FALSE))/(VLOOKUP(O17,'CONDCUTORES MT'!$B$46:$E$54,3,FALSE)))))*0.000000001))</f>
        <v>-6.6950274481387699E-11</v>
      </c>
      <c r="AY17" s="437">
        <f>IF(AE17="Cable Armado","",(2*PI()*60)*(AX17)*(H17^2)*(0.001))</f>
        <v>-3.0041503953337018E-2</v>
      </c>
      <c r="AZ17" s="437">
        <f>IF(AE17="Cable Armado","",(0.12)*(5000)*   IF(AE17="Desnudo",(LN((VLOOKUP(O17,'CONDCUTORES MT'!$B$7:$AB$15,27,FALSE))/(VLOOKUP(O17,'CONDCUTORES MT'!$B$7:$D$15,3,FALSE)))), (LN((VLOOKUP(O17,CONDUCTORES!$B$9:$AF$23,24,FALSE))/(VLOOKUP(O17,CONDUCTORES!$B$9:$D$23,3,FALSE)))) )    )</f>
        <v>-1244.7048795371279</v>
      </c>
      <c r="BA17" s="437">
        <f>IF(AE17="Cable Armado","",($AW$3)-(((K17^2)*  IF(AE17="Desnudo",(VLOOKUP(O17,'CONDCUTORES MT'!$B$7:$I$15,7,FALSE)),(VLOOKUP(O17,CONDUCTORES!$B$9:$K$23,9,FALSE))) )+(0.5*AY17))*(AZ17))</f>
        <v>19102.350212591537</v>
      </c>
      <c r="BB17" s="441">
        <f>IF(AE17="Cable Armado","",1+$BD$4*(BA17-20))</f>
        <v>77.901871356743882</v>
      </c>
      <c r="BC17" s="437">
        <f>IF(AE17="Cable Armado","",IF(AE17="Desnudo",SQRT(((8*PI()*60)/(VLOOKUP(O17,'CONDCUTORES MT'!$B$7:$I$15,7,FALSE)))*(0.0000001)*(1)),SQRT(((8*PI()*60)/(VLOOKUP(O17,CONDUCTORES!$B$9:$K$23,9,FALSE)))*(0.0000001)*(1))))</f>
        <v>1.4799683024221634E-2</v>
      </c>
      <c r="BD17" s="437">
        <f>IF(AE17="Cable Armado","",IF(AE17="Desnudo",SQRT(((8*PI()*60)/(VLOOKUP(O17,'CONDCUTORES MT'!$B$7:$I$15,7,FALSE)))*(0.0000001)*(1)),SQRT(((8*PI()*60)/(VLOOKUP(O17,CONDUCTORES!$B$9:$K$23,9,FALSE)))*(0.0000001)*(1))))</f>
        <v>1.4799683024221634E-2</v>
      </c>
      <c r="BE17" s="442">
        <f>IF(AE17="Cable Armado","",((BD17^4)/((192)+((0.8)*(BD17^4))))*IF(AE17="Desnudo",(((VLOOKUP(O17,'CONDCUTORES MT'!$B$7:$I$15,7,FALSE))/(1))^2),(((VLOOKUP(O17,CONDUCTORES!$B$9:$K$23,9,FALSE))/(1))^2))*(2.9))</f>
        <v>3.4346223308925378E-10</v>
      </c>
      <c r="BF17" s="442">
        <f>IF(AE17="Cable Armado","",(BC17^4)/((192)+((0.8)*(BC17^4))))</f>
        <v>2.4986672627231682E-10</v>
      </c>
      <c r="BG17" s="437">
        <f>IF(AE17="Cable Armado","",((BB17)/(-AZ17))*(1/(1+((BB17)/(52.9)))))</f>
        <v>2.5311810647211642E-2</v>
      </c>
      <c r="BH17" s="437">
        <v>0</v>
      </c>
      <c r="BI17" s="434">
        <f>IF(AE17="Cable Armado","",IF(AND(H17&gt;=1000,H17&lt;=4160),VLOOKUP(AP17,'CONDCUTORES MT'!$A$20:$E$28,5,TRUE),IF(AND(H17&gt;=4161,H17&lt;=13800),VLOOKUP(AP17,'CONDCUTORES MT'!$A$33:$E$41,5,TRUE),VLOOKUP(AP17,'CONDCUTORES MT'!$A$46:$E$54,5,TRUE))))</f>
        <v>1116.2785556551594</v>
      </c>
      <c r="BJ17" s="434">
        <f>IF(AE17="Cable Armado","",IF(AND(H17&gt;=1000,H17&lt;=4160),VLOOKUP(AR17,'CONDCUTORES MT'!$A$20:$E$28,5,TRUE),IF(AND(H17&gt;=4161,H17&lt;=13800),VLOOKUP(AR17,'CONDCUTORES MT'!$A$33:$E$41,5,TRUE),VLOOKUP(AR17,'CONDCUTORES MT'!$A$46:$E$54,5,TRUE))))</f>
        <v>1176.2829753387246</v>
      </c>
      <c r="BK17" s="443">
        <f>IF(AE17="Cable Armado","",(AU17*AV17*(1+$BD$4*($BB$4-20))/(BI17))*10^6)</f>
        <v>3.1569427154061853E-5</v>
      </c>
      <c r="BL17" s="443">
        <f>IF(AE17="Cable Armado","",(AU17*AV17*(1+$BD$4*($BB$4-20))/(BJ17))*10^6)</f>
        <v>2.9959010956737754E-5</v>
      </c>
      <c r="BM17" s="443">
        <f>IF(AE17="Cable Armado","",(AU17*AV17*(1+$BD$4*($BB$4-20))/(AH17))*10^6)</f>
        <v>1.3201166004135637E-5</v>
      </c>
      <c r="BN17" s="444">
        <f>IF(AE17="Cable Armado","",(M17)*((K17)^2)*(BK17)*(AT17))</f>
        <v>75.700213705498228</v>
      </c>
      <c r="BO17" s="444">
        <f>IF(AE17="Cable Armado","",(M17)*((K17)^2)*(BL17)*(AT17))</f>
        <v>71.83860260633881</v>
      </c>
      <c r="BP17" s="444">
        <f>IF(AE17="Cable Armado","",(M17)*((K17)^2)*(BM17)*(AT17))</f>
        <v>31.655027593563663</v>
      </c>
      <c r="BQ17" s="444">
        <f>IF(AE17="Cable Armado","",IF(AND(H17&gt;=1000,H17&lt;=4160),VLOOKUP(AP17,COSTOS!$A$67:$I$75,4,FALSE),IF(AND(H17&gt;=4161,H17&lt;=13800),VLOOKUP(AP17,COSTOS!$A$80:$I$88,4,FALSE),VLOOKUP(AP17,COSTOS!$A$93:$I$101,4,FALSE))))</f>
        <v>57676</v>
      </c>
      <c r="BR17" s="444">
        <f>IF(AE17="Cable Armado","",IF(AND(H17&gt;=1000,H17&lt;=4160),VLOOKUP(AP17,COSTOS!$A$67:$I$75,5,FALSE),IF(AND(H17&gt;=4161,H17&lt;=13800),VLOOKUP(AP17,COSTOS!$A$80:$I$88,5,FALSE),VLOOKUP(AP17,COSTOS!$A$93:$I$101,5,FALSE))))</f>
        <v>21189</v>
      </c>
      <c r="BS17" s="444">
        <f>IF(AE17="Cable Armado","",BQ17+BR17)</f>
        <v>78865</v>
      </c>
      <c r="BT17" s="444">
        <f>IF(AE17="Cable Armado","",BS17*M17*(IF(AE17="Monopolar",U17*I17,U17*Z17)))</f>
        <v>315460</v>
      </c>
      <c r="BU17" s="444">
        <f>IF(AE17="Cable Armado","",IF(AND(H17&gt;=1000,H17&lt;=4160),VLOOKUP(AR17,COSTOS!$A$67:$I$75,4,FALSE),IF(AND(H17&gt;=4161,H17&lt;=13800),VLOOKUP(AR17,COSTOS!$A$80:$I$88,4,FALSE),VLOOKUP(AR17,COSTOS!$A$93:$I$101,4,FALSE))))</f>
        <v>65126</v>
      </c>
      <c r="BV17" s="444">
        <f>IF(AE17="Cable Armado","",IF(AND(H17&gt;=1000,H17&lt;=4160),VLOOKUP(AR17,COSTOS!$A$67:$I$75,5,FALSE),IF(AND(H17&gt;=4161,H17&lt;=13800),VLOOKUP(AR17,COSTOS!$A$80:$I$88,5,FALSE),VLOOKUP(AR17,COSTOS!$A$93:$I$101,5,FALSE))))</f>
        <v>21189</v>
      </c>
      <c r="BW17" s="444">
        <f>IF(AE17="Cable Armado","",BU17+BV17)</f>
        <v>86315</v>
      </c>
      <c r="BX17" s="444">
        <f>IF(AE17="Cable Armado","",BW17*M17*(IF(AE17="Monopolar",U17*I17,U17*Z17)))</f>
        <v>345260</v>
      </c>
      <c r="BY17" s="444">
        <f>IF(AE17="Cable Armado","",IF(AND(H17&gt;=1000,H17&lt;=4160),VLOOKUP(AG17,COSTOS!$A$67:$I$75,4,FALSE),IF(AND(H17&gt;=4161,H17&lt;=13800),VLOOKUP(AG17,COSTOS!$A$80:$I$88,4,FALSE),IF(AE17="Desnudo",VLOOKUP(AG17,COSTOS!$A$114:$I$122,4,FALSE),VLOOKUP(AG17,COSTOS!$A$93:$I$101,4,FALSE)) )))</f>
        <v>1000</v>
      </c>
      <c r="BZ17" s="444">
        <f>IF(AE17="Cable Armado","",IF(AND(H17&gt;=1000,H17&lt;=4160),VLOOKUP(AG17,COSTOS!$A$67:$I$75,5,FALSE),IF(AND(H17&gt;=4161,H17&lt;=13800),VLOOKUP(AG17,COSTOS!$A$80:$I$88,5,FALSE),IF(AE17="Desnudo",VLOOKUP(AG17,COSTOS!$A$114:$I$122,5,FALSE),VLOOKUP(AG17,COSTOS!$A$93:$I$101,5,FALSE)))))</f>
        <v>1000</v>
      </c>
      <c r="CA17" s="444">
        <f>IF(AE17="Cable Armado","",BY17+BZ17)</f>
        <v>2000</v>
      </c>
      <c r="CB17" s="444">
        <f>IF(AE17="Cable Armado","",CA17*M17*(IF(AE17="Monopolar",N17*I17,N17*Z17)))</f>
        <v>8000</v>
      </c>
      <c r="CC17" s="444">
        <f>IF(AE17="Cable Armado","",(BT17)+(BN17))</f>
        <v>315535.70021370548</v>
      </c>
      <c r="CD17" s="444">
        <f>IF(AE17="Cable Armado","",(BX17)+(BO17))</f>
        <v>345331.83860260632</v>
      </c>
      <c r="CE17" s="444">
        <f>IF(AE17="Cable Armado","",(CB17)+(BP17))</f>
        <v>8031.6550275935633</v>
      </c>
      <c r="CF17" s="445" t="str">
        <f>IF(AE17="Cable Armado","SI","NO")</f>
        <v>NO</v>
      </c>
    </row>
    <row r="18" spans="2:84" ht="23.4" customHeight="1" thickBot="1" x14ac:dyDescent="0.3">
      <c r="B18" s="344"/>
      <c r="C18" s="1015" t="s">
        <v>1250</v>
      </c>
      <c r="D18" s="1769" t="s">
        <v>1092</v>
      </c>
      <c r="E18" s="1769"/>
      <c r="F18" s="1769"/>
      <c r="G18" s="1769"/>
      <c r="H18" s="1769"/>
      <c r="I18" s="1769"/>
      <c r="J18" s="1769"/>
      <c r="K18" s="1769"/>
      <c r="L18" s="1769"/>
      <c r="M18" s="1769"/>
      <c r="N18" s="1769"/>
      <c r="O18" s="1769"/>
      <c r="P18" s="1769"/>
      <c r="Q18" s="1769"/>
      <c r="R18" s="1769"/>
      <c r="S18" s="1769"/>
      <c r="T18" s="1769"/>
      <c r="U18" s="1769"/>
      <c r="V18" s="1769"/>
      <c r="W18" s="1769"/>
      <c r="X18" s="1769"/>
      <c r="Y18" s="1769"/>
      <c r="AD18" s="340">
        <f t="shared" si="0"/>
        <v>1</v>
      </c>
      <c r="AE18" s="380"/>
      <c r="AF18" s="380"/>
      <c r="AG18" s="409"/>
      <c r="AH18" s="412"/>
      <c r="AI18" s="1882" t="s">
        <v>1227</v>
      </c>
      <c r="AJ18" s="1883"/>
      <c r="AK18" s="1883"/>
      <c r="AL18" s="1883"/>
      <c r="AM18" s="1883"/>
      <c r="AN18" s="1884"/>
      <c r="AO18" s="1885" t="s">
        <v>1228</v>
      </c>
      <c r="AP18" s="1886"/>
      <c r="AQ18" s="1885" t="s">
        <v>1229</v>
      </c>
      <c r="AR18" s="1886"/>
      <c r="AS18" s="413" t="s">
        <v>1230</v>
      </c>
      <c r="AT18" s="414" t="s">
        <v>346</v>
      </c>
      <c r="AU18" s="413" t="s">
        <v>1231</v>
      </c>
      <c r="AV18" s="414" t="s">
        <v>348</v>
      </c>
      <c r="AW18" s="414" t="s">
        <v>351</v>
      </c>
      <c r="AX18" s="413" t="s">
        <v>771</v>
      </c>
      <c r="AY18" s="413" t="s">
        <v>1232</v>
      </c>
      <c r="AZ18" s="413" t="s">
        <v>1233</v>
      </c>
      <c r="BA18" s="413" t="s">
        <v>1234</v>
      </c>
      <c r="BB18" s="414" t="s">
        <v>1235</v>
      </c>
      <c r="BC18" s="414" t="s">
        <v>1236</v>
      </c>
      <c r="BD18" s="414" t="s">
        <v>1237</v>
      </c>
      <c r="BE18" s="413" t="s">
        <v>1238</v>
      </c>
      <c r="BF18" s="413" t="s">
        <v>1239</v>
      </c>
      <c r="BG18" s="413" t="s">
        <v>1240</v>
      </c>
      <c r="BH18" s="413" t="s">
        <v>1241</v>
      </c>
      <c r="BI18" s="414" t="s">
        <v>1242</v>
      </c>
      <c r="BJ18" s="414" t="s">
        <v>1243</v>
      </c>
      <c r="BK18" s="1879" t="s">
        <v>1244</v>
      </c>
      <c r="BL18" s="1880"/>
      <c r="BM18" s="1881"/>
      <c r="BN18" s="1879" t="s">
        <v>1245</v>
      </c>
      <c r="BO18" s="1880"/>
      <c r="BP18" s="1881"/>
      <c r="BQ18" s="1887" t="s">
        <v>1246</v>
      </c>
      <c r="BR18" s="1888"/>
      <c r="BS18" s="1888"/>
      <c r="BT18" s="1889"/>
      <c r="BU18" s="1887" t="s">
        <v>1247</v>
      </c>
      <c r="BV18" s="1888"/>
      <c r="BW18" s="1888"/>
      <c r="BX18" s="1889"/>
      <c r="BY18" s="1887" t="s">
        <v>1248</v>
      </c>
      <c r="BZ18" s="1888"/>
      <c r="CA18" s="1888"/>
      <c r="CB18" s="1889"/>
      <c r="CC18" s="1879" t="s">
        <v>1249</v>
      </c>
      <c r="CD18" s="1880"/>
      <c r="CE18" s="1881"/>
      <c r="CF18" s="415"/>
    </row>
    <row r="19" spans="2:84" s="408" customFormat="1" ht="25.95" customHeight="1" x14ac:dyDescent="0.25">
      <c r="B19" s="372">
        <v>1</v>
      </c>
      <c r="C19" s="852" t="str">
        <f>+_xlfn.CONCAT($C$18,".",SUBTOTAL(103,$X$19:X19))</f>
        <v>5.2.1</v>
      </c>
      <c r="D19" s="1040" t="str">
        <f>+'H2-CONDUCTORES DE BT'!D18</f>
        <v>TBT08</v>
      </c>
      <c r="E19" s="1067" t="str">
        <f>+VLOOKUP(D19,'H2-CONDUCTORES DE BT'!$D$2:$BL$155,2,FALSE)</f>
        <v>TABLERO BAJA TENSIÓN (EXISTENTE)</v>
      </c>
      <c r="F19" s="1147">
        <f>+VLOOKUP(D19,'H2-CONDUCTORES DE BT'!$D$2:$BL$155,6,FALSE)</f>
        <v>225</v>
      </c>
      <c r="G19" s="1072" t="str">
        <f>+VLOOKUP(D19,'H2-CONDUCTORES DE BT'!$D$2:$BL$155,7,FALSE)</f>
        <v>kVA</v>
      </c>
      <c r="H19" s="1148">
        <f>+VLOOKUP(D19,'H2-CONDUCTORES DE BT'!$D$2:$BL$155,8,FALSE)</f>
        <v>480</v>
      </c>
      <c r="I19" s="1072">
        <f>+VLOOKUP(D19,'H2-CONDUCTORES DE BT'!$D$2:$BL$155,9,FALSE)</f>
        <v>3</v>
      </c>
      <c r="J19" s="1149">
        <f>+VLOOKUP(D19,'H2-CONDUCTORES DE BT'!$D$2:$BL$155,10,FALSE)</f>
        <v>0.80830156595608427</v>
      </c>
      <c r="K19" s="1150">
        <f>+VLOOKUP(D19,'H2-CONDUCTORES DE BT'!$D$2:$BL$155,28,FALSE)</f>
        <v>410</v>
      </c>
      <c r="L19" s="1151">
        <f>+VLOOKUP(D19,'H2-CONDUCTORES DE BT'!$D$2:$BL$155,11,FALSE)</f>
        <v>0.98</v>
      </c>
      <c r="M19" s="1057">
        <f>+VLOOKUP(D19,'H2-CONDUCTORES DE BT'!$D$2:$BL$155,4,FALSE)</f>
        <v>13</v>
      </c>
      <c r="N19" s="1152">
        <f>+Z19</f>
        <v>2</v>
      </c>
      <c r="O19" s="1055" t="str">
        <f>IF(VLOOKUP(D19,'H2-CONDUCTORES DE BT'!$D$2:$BL$155,57,FALSE)="Al",VLOOKUP(D19,'H2-CONDUCTORES DE BT'!$D$2:$BL$155,55,FALSE),VLOOKUP(D19,'H2-CONDUCTORES DE BT'!$D$2:$BL$155,36,FALSE))</f>
        <v>4/0 AWG</v>
      </c>
      <c r="P19" s="1070" t="str">
        <f>IF(AE19="Cable Armado","Cu","Al")</f>
        <v>Al</v>
      </c>
      <c r="Q19" s="1153"/>
      <c r="R19" s="1155">
        <f>+CC19</f>
        <v>16775156.133756928</v>
      </c>
      <c r="S19" s="1155">
        <f>+CD19</f>
        <v>13537417.402282638</v>
      </c>
      <c r="T19" s="1155">
        <f>+CE19</f>
        <v>12922229.204494778</v>
      </c>
      <c r="U19" s="1159">
        <v>4</v>
      </c>
      <c r="V19" s="1158" t="s">
        <v>816</v>
      </c>
      <c r="W19" s="1156">
        <f>N19</f>
        <v>2</v>
      </c>
      <c r="X19" s="1158" t="s">
        <v>964</v>
      </c>
      <c r="Y19" s="1157" t="str">
        <f>IF(MIN(R19:T19)=T19,"OPCIÓN TÉCNICA",IF(MIN(R19:T19)=S19,"OPCIÓN 2","OPCIÓN 1"))</f>
        <v>OPCIÓN TÉCNICA</v>
      </c>
      <c r="Z19" s="499">
        <f>+VLOOKUP(D19,'H2-CONDUCTORES DE BT'!$D$2:$BL$155,37,FALSE)</f>
        <v>2</v>
      </c>
      <c r="AA19" s="343" t="str">
        <f>+VLOOKUP(D19,'H2-CONDUCTORES DE BT'!$D$2:$BL$155,55,FALSE)</f>
        <v>4/0 AWG</v>
      </c>
      <c r="AB19" s="343">
        <f>IF(AE19="Multiconductor","N/A",IF(VLOOKUP(D19,'H2-CONDUCTORES DE BT'!$D$2:$BL$155,50,FALSE)&lt;&gt;1,VLOOKUP(D19,'H2-CONDUCTORES DE BT'!$D$2:$BL$155,50,FALSE),IF(VLOOKUP(D19,'H2-CONDUCTORES DE BT'!$D$2:$BL$155,23,FALSE)="BANDEJA",1,IF(VLOOKUP(D19,'H2-CONDUCTORES DE BT'!$D$2:$BL$155,24,FALSE)&lt;&gt;3,IF(((VLOOKUP(D19,'H2-CONDUCTORES DE BT'!$D$2:$BL$155,24,FALSE))/3)=Z19,1),VLOOKUP(D19,'H2-CONDUCTORES DE BT'!$D$2:$BL$155,37,FALSE)))))</f>
        <v>2</v>
      </c>
      <c r="AC19" s="343" t="str">
        <f>IF(AE19="Multiconductor","N/A",(IF((VLOOKUP(D19,'H2-CONDUCTORES DE BT'!$D$2:$BL$155,40,FALSE))="Al",IF((VLOOKUP(D19,'H2-CONDUCTORES DE BT'!$D$2:$BL$155,51,FALSE))="No",LOOKUP((VLOOKUP(D19,'H2-CONDUCTORES DE BT'!$D$2:$BL$155,16,FALSE)),CONDUCTORES!$A$111:$A$131,CONDUCTORES!$C$111:$C$131),(VLOOKUP(D19,'H2-CONDUCTORES DE BT'!$D$2:$BL$155,51,FALSE))),IF((VLOOKUP(D19,'H2-CONDUCTORES DE BT'!$D$2:$BL$155,51,FALSE))="No",LOOKUP((VLOOKUP(D19,'H2-CONDUCTORES DE BT'!$D$2:$BL$155,16,FALSE)),CONDUCTORES!$A$111:$A$131,CONDUCTORES!$B$111:$B$131),(VLOOKUP(D19,'H2-CONDUCTORES DE BT'!$D$2:$BL$155,51,FALSE))))))</f>
        <v>1/0 AWG</v>
      </c>
      <c r="AD19" s="340">
        <f t="shared" si="0"/>
        <v>2</v>
      </c>
      <c r="AE19" s="464" t="str">
        <f>+VLOOKUP(D19,'H2-CONDUCTORES DE BT'!$D$2:$BL$155,38,FALSE)</f>
        <v>Monopolar</v>
      </c>
      <c r="AF19" s="531" t="str">
        <f>IF(AE19="Monopolar","N/A",VLOOKUP(D19,'H2-CONDUCTORES DE BT'!$D$2:$BL$192,39,FALSE))</f>
        <v>N/A</v>
      </c>
      <c r="AG19" s="437">
        <f>+VLOOKUP(D19,'H2-CONDUCTORES DE BT'!$D$2:$CL$492,70,FALSE)</f>
        <v>10</v>
      </c>
      <c r="AH19" s="434">
        <f>(VLOOKUP(AG19,CONDUCTORES!$A$9:$G$62,6,FALSE))*(Z19)</f>
        <v>412.6</v>
      </c>
      <c r="AI19" s="434">
        <f>1000*((((K19^2)*AT19*AU19*AV19*(1+($BD$4*($BB$4-20))))/AW19)^0.5)</f>
        <v>689.21299455842768</v>
      </c>
      <c r="AJ19" s="434">
        <f>+IF(U19=1,"N/A",IF((AI19/U19)&lt;CONDUCTORES!$F$9,CONDUCTORES!$F$9,IF((AI19/U19)&lt;CONDUCTORES!$F$10,CONDUCTORES!$F$10,IF((AI19/U19)&lt;CONDUCTORES!$F$11,CONDUCTORES!$F$11,IF((AI19/U19)&lt;CONDUCTORES!$F$12,CONDUCTORES!$F$12,IF((AI19/U19)&lt;CONDUCTORES!$F$13,CONDUCTORES!$F$13,IF((AI19/U19)&lt;CONDUCTORES!$F$14,CONDUCTORES!$F$14,IF((AI19/U19)&lt;CONDUCTORES!$F$15,CONDUCTORES!$F$15,IF((AI19/U19)&lt;CONDUCTORES!$F$16,CONDUCTORES!$F$16,IF((AI19/U19)&lt;CONDUCTORES!$F$17,CONDUCTORES!$F$17,IF((AI19/U19)&lt;CONDUCTORES!$F$18,CONDUCTORES!$F$18,IF((AI19/U19)&lt;CONDUCTORES!$F$19,CONDUCTORES!$F$19,IF((AI19/U19)&lt;CONDUCTORES!$F$20,CONDUCTORES!$F$20,IF((AI19/U19)&lt;CONDUCTORES!$F$21,CONDUCTORES!$F$21,IF((AI19/U19)&lt;CONDUCTORES!$F$22,CONDUCTORES!$F$22,CONDUCTORES!$F$23)))))))))))))))</f>
        <v>206.3</v>
      </c>
      <c r="AK19" s="434">
        <f>IF(AF19="2/C  -",IF(AI19&lt;CONDUCTORES!$F$33,CONDUCTORES!$F$33,IF(AI19&lt;CONDUCTORES!$F$36,CONDUCTORES!$F$36,IF(AI19&lt;CONDUCTORES!$F$39,CONDUCTORES!$F$39,IF(AI19&lt;CONDUCTORES!$F$42,CONDUCTORES!$F$42,IF(AI19&lt;CONDUCTORES!$F$45,CONDUCTORES!$F$45,IF(AI19&lt;CONDUCTORES!$F$48,CONDUCTORES!$F$48,IF(AI19&lt;CONDUCTORES!$F$51,CONDUCTORES!$F$51,IF(AI19&lt;CONDUCTORES!$F$54,CONDUCTORES!$F$54,IF(AI19&lt;CONDUCTORES!$F$57,CONDUCTORES!$F$57,CONDUCTORES!$F$60))))))))),0)</f>
        <v>0</v>
      </c>
      <c r="AL19" s="434">
        <f>IF(AF19="3/C  -",IF(AI19&lt;CONDUCTORES!$F$34,CONDUCTORES!$F$34,IF(AI19&lt;CONDUCTORES!$F$37,CONDUCTORES!$F$37,IF(AI19&lt;CONDUCTORES!$F$40,CONDUCTORES!$F$40,IF(AI19&lt;CONDUCTORES!$F$43,CONDUCTORES!$F$43,IF(AI19&lt;CONDUCTORES!$F$46,CONDUCTORES!$F$46,IF(AI19&lt;CONDUCTORES!$F$49,CONDUCTORES!$F$49,IF(AI19&lt;CONDUCTORES!$F$52,CONDUCTORES!$F$52,IF(AI19&lt;CONDUCTORES!$F$55,CONDUCTORES!$F$55,IF(AI19&lt;CONDUCTORES!$F$58,CONDUCTORES!$F$58,CONDUCTORES!$F$61))))))))),0)</f>
        <v>0</v>
      </c>
      <c r="AM19" s="434">
        <f>IF(AF19="4/C  -",IF(AI19&lt;CONDUCTORES!$F$35,CONDUCTORES!$F$35,IF(AI19&lt;CONDUCTORES!$F$38,CONDUCTORES!$F$38,IF(AI19&lt;CONDUCTORES!$F$41,CONDUCTORES!$F$41,IF(AI19&lt;CONDUCTORES!$F$44,CONDUCTORES!$F$44,IF(AI19&lt;CONDUCTORES!$F$47,CONDUCTORES!$F$47,IF(AI19&lt;CONDUCTORES!$F$50,CONDUCTORES!$F$50,IF(AI19&lt;CONDUCTORES!$F$53,CONDUCTORES!$F$53,IF(AI19&lt;CONDUCTORES!$F$56,CONDUCTORES!$F$56,IF(AI19&lt;CONDUCTORES!$F$59,CONDUCTORES!$F$59,CONDUCTORES!$F$62))))))))),0)</f>
        <v>0</v>
      </c>
      <c r="AN19" s="436">
        <f>IF(AE19="Multiconductor",IF(AF19="2/C  -",AK19,IF(AF19="3/C  -",AL19,IF(AF19="4/C  -",AM19,"NO SE CÁLCULO, REVISAR"))),IF(AI19&lt;CONDUCTORES!$F$9,CONDUCTORES!$F$9,IF(AI19&lt;CONDUCTORES!$F$10,CONDUCTORES!$F$10,IF(AI19&lt;CONDUCTORES!$F$11,CONDUCTORES!$F$11,IF(AI19&lt;CONDUCTORES!$F$12,CONDUCTORES!$F$12,IF(AI19&lt;CONDUCTORES!$F$13,CONDUCTORES!$F$13,IF(AI19&lt;CONDUCTORES!$F$14,CONDUCTORES!$F$14,IF(AI19&lt;CONDUCTORES!$F$15,CONDUCTORES!$F$15,IF(AI19&lt;CONDUCTORES!$F$16,CONDUCTORES!$F$16,IF(AI19&lt;CONDUCTORES!$F$17,CONDUCTORES!$F$17,IF(AI19&lt;CONDUCTORES!$F$18,CONDUCTORES!$F$18,IF(AI19&lt;CONDUCTORES!$F$19,CONDUCTORES!$F$19,IF(AI19&lt;CONDUCTORES!$F$20,CONDUCTORES!$F$20,IF(AI19&lt;CONDUCTORES!$F$21,CONDUCTORES!$F$21,IF(AI19&lt;CONDUCTORES!$F$22,CONDUCTORES!$F$22,CONDUCTORES!$F$23)))))))))))))))</f>
        <v>872.2</v>
      </c>
      <c r="AO19" s="1197" t="str">
        <f>+V19</f>
        <v>3/0 AWG</v>
      </c>
      <c r="AP19" s="1196" cm="1">
        <f t="array" ref="AP19">IF(AE19="Multiconductor",INDEX(CONDUCTORES!$A$24:$A$62,MATCH(1,(CONDUCTORES!$B$24:$B$62=AO19)*(CONDUCTORES!$C$24:$C$62=AF19),0)),VLOOKUP(AO19,CONDUCTORES!$B$9:$X$23,23,FALSE))</f>
        <v>9</v>
      </c>
      <c r="AQ19" s="1197" t="str">
        <f>+X19</f>
        <v>250 kcmil</v>
      </c>
      <c r="AR19" s="437" cm="1">
        <f t="array" ref="AR19">IF(AE19="Multiconductor",INDEX(CONDUCTORES!$A$24:$A$62,MATCH(1,(CONDUCTORES!$B$24:$B$62=AQ19)*(CONDUCTORES!$C$24:$C$62=AF19),0)),VLOOKUP(AQ19,CONDUCTORES!$B$9:$X$23,23,FALSE))</f>
        <v>11</v>
      </c>
      <c r="AS19" s="438">
        <f>+K19</f>
        <v>410</v>
      </c>
      <c r="AT19" s="1195">
        <f t="shared" ref="AT19:AT32" si="1">($I19*$AS$4*($AP$4*$AU$5+$AG$4)*($AI$4/(1+($AN$4/1))))</f>
        <v>26993.575512884076</v>
      </c>
      <c r="AU19" s="439">
        <f t="shared" ref="AU19:AU32" si="2">+$AE$4</f>
        <v>3.03E-8</v>
      </c>
      <c r="AV19" s="437">
        <f>+(1+BE19+BF19)*(1+BG19+BH19)</f>
        <v>1.034613008416583</v>
      </c>
      <c r="AW19" s="440">
        <f>VLOOKUP(AG19,COSTOS!$A$7:$Z$94,7,FALSE)</f>
        <v>339.68977217644203</v>
      </c>
      <c r="AX19" s="437">
        <f>((2.5)/(18*LN((VLOOKUP(O19,CONDUCTORES!$B$9:$AF$23,24,FALSE))/(VLOOKUP(O19,CONDUCTORES!$B$9:$D$23,3,FALSE)))))*-0.000000001</f>
        <v>5.4538704635077959E-11</v>
      </c>
      <c r="AY19" s="437">
        <f>+(2*PI()*60)*(AX19)*(H19^2)*(0.001)</f>
        <v>4.7371639122763179E-6</v>
      </c>
      <c r="AZ19" s="437">
        <f>(0.12)*(5000)*(LN((VLOOKUP(O19,CONDUCTORES!$B$9:$AF$23,24,FALSE))/(VLOOKUP(O19,CONDUCTORES!$B$9:$D$23,3,FALSE))))</f>
        <v>-1527.966861166251</v>
      </c>
      <c r="BA19" s="437">
        <f>+($AW$3)-(((K19^2)*(VLOOKUP(O19,CONDUCTORES!$B$9:$K$23,7,FALSE)))+(0.5*AY19))*(AZ19)</f>
        <v>55661596.89256987</v>
      </c>
      <c r="BB19" s="441">
        <f>1+$BD$4*(BA19-20)</f>
        <v>224317.15487705657</v>
      </c>
      <c r="BC19" s="437">
        <f>+SQRT(((8*PI()*60)/(VLOOKUP(O19,CONDUCTORES!$B$9:$K$23,9,FALSE)))*(0.0000001)*(1))</f>
        <v>2.0929912451677097E-2</v>
      </c>
      <c r="BD19" s="437">
        <f>+SQRT(((8*PI()*60)/(VLOOKUP(O19,CONDUCTORES!$B$9:$K$23,9,FALSE)))*(0.0000001)*(1))</f>
        <v>2.0929912451677097E-2</v>
      </c>
      <c r="BE19" s="442">
        <f>((BD19^4)/((192)+((0.8)*(BD19^4))))*(((VLOOKUP(O19,CONDUCTORES!$B$9:$K$23,9,FALSE))/(1))^2)*(2.9)</f>
        <v>3.4346223288328617E-10</v>
      </c>
      <c r="BF19" s="442">
        <f>+(BC19^4)/((192)+((0.8)*(BC19^4)))</f>
        <v>9.994669044899067E-10</v>
      </c>
      <c r="BG19" s="437">
        <f>+((BB19)/(-AZ19))*(1/(1+((BB19)/(52.9))))</f>
        <v>3.4613007027171169E-2</v>
      </c>
      <c r="BH19" s="437">
        <v>0</v>
      </c>
      <c r="BI19" s="434">
        <f>(IF(AE19="Multiconductor",VLOOKUP(AP19,CONDUCTORES!$A$24:$G$62,6,FALSE),VLOOKUP(AO19,CONDUCTORES!$B$9:$F$23,5,FALSE)))*(U19)</f>
        <v>682</v>
      </c>
      <c r="BJ19" s="434">
        <f>(IF(AE19="Multiconductor",VLOOKUP(AR19,CONDUCTORES!$A$24:$G$62,6,FALSE),VLOOKUP(AQ19,CONDUCTORES!$B$9:$F$23,5,FALSE)))*(U19)</f>
        <v>1007.6</v>
      </c>
      <c r="BK19" s="1194">
        <f>+(AU19*AV19*(1+$BD$4*($BB$4-20))/(BI19))*10^6</f>
        <v>5.2140703054516838E-5</v>
      </c>
      <c r="BL19" s="443">
        <f>+(AU19*AV19*(1+$BD$4*($BB$4-20))/(BJ19))*10^6</f>
        <v>3.5291742242140212E-5</v>
      </c>
      <c r="BM19" s="443">
        <f>+(AU19*AV19*(1+$BD$4*($BB$4-20))/(AH19))*10^6</f>
        <v>8.618506903339913E-5</v>
      </c>
      <c r="BN19" s="1192">
        <f>(M19)*((K19)^2)*(BK19)*(AT19)</f>
        <v>3075731.0905569289</v>
      </c>
      <c r="BO19" s="1198">
        <f>(M19)*((K19)^2)*(BL19)*(AT19)</f>
        <v>2081826.7206826373</v>
      </c>
      <c r="BP19" s="444">
        <f>(M19)*((K19)^2)*(BM19)*(AT19)</f>
        <v>5083976.2572947778</v>
      </c>
      <c r="BQ19" s="1193">
        <f>VLOOKUP(AP19,COSTOS!$A$7:$I$60,4,FALSE)</f>
        <v>57908.8272</v>
      </c>
      <c r="BR19" s="1193">
        <f>VLOOKUP(AP19,COSTOS!$A$7:$I$60,5,FALSE)</f>
        <v>29908</v>
      </c>
      <c r="BS19" s="1193">
        <f>+BQ19+BR19</f>
        <v>87816.8272</v>
      </c>
      <c r="BT19" s="1192">
        <f>+BS19*M19*(IF(AE19="Monopolar",U19*I19,U19*Z19))</f>
        <v>13699425.043199999</v>
      </c>
      <c r="BU19" s="444">
        <f>VLOOKUP(AR19,COSTOS!$A$7:$I$60,4,FALSE)</f>
        <v>86097.547200000001</v>
      </c>
      <c r="BV19" s="444">
        <f>VLOOKUP(AR19,COSTOS!$A$7:$I$60,5,FALSE)</f>
        <v>60769</v>
      </c>
      <c r="BW19" s="1198">
        <f>+BU19+BV19</f>
        <v>146866.5472</v>
      </c>
      <c r="BX19" s="1198">
        <f>+BW19*M19*(IF(AE19="Monopolar",W19*I19,U19*Z19))</f>
        <v>11455590.681600001</v>
      </c>
      <c r="BY19" s="444">
        <f>VLOOKUP(AG19,COSTOS!$A$7:$I$60,4,FALSE)</f>
        <v>70582.42240000001</v>
      </c>
      <c r="BZ19" s="444">
        <f>VLOOKUP(AG19,COSTOS!$A$7:$I$60,5,FALSE)</f>
        <v>29908</v>
      </c>
      <c r="CA19" s="444">
        <f>+BY19+BZ19</f>
        <v>100490.42240000001</v>
      </c>
      <c r="CB19" s="444">
        <f>+CA19*M19*(IF(AE19="Monopolar",N19*I19,N19*Z19))</f>
        <v>7838252.9472000003</v>
      </c>
      <c r="CC19" s="444">
        <f>(BT19)+(BN19)</f>
        <v>16775156.133756928</v>
      </c>
      <c r="CD19" s="1198">
        <f>(BX19)+(BO19)</f>
        <v>13537417.402282638</v>
      </c>
      <c r="CE19" s="444">
        <f>(CB19)+(BP19)</f>
        <v>12922229.204494778</v>
      </c>
      <c r="CF19" s="445"/>
    </row>
    <row r="20" spans="2:84" s="408" customFormat="1" ht="26.4" customHeight="1" x14ac:dyDescent="0.25">
      <c r="B20" s="372">
        <v>2</v>
      </c>
      <c r="C20" s="852" t="str">
        <f>+_xlfn.CONCAT($C$18,".",SUBTOTAL(103,$X$19:X20))</f>
        <v>5.2.2</v>
      </c>
      <c r="D20" s="1040" t="str">
        <f>+'H2-CONDUCTORES DE BT'!D19</f>
        <v>LPB E0701-BT</v>
      </c>
      <c r="E20" s="1088" t="str">
        <f>+VLOOKUP(D20,'H2-CONDUCTORES DE BT'!$D$2:$BL$155,2,FALSE)</f>
        <v>ESTRUCTURA BAJA TENSIÓN (EXISTENTE)</v>
      </c>
      <c r="F20" s="1160">
        <f>+VLOOKUP(D20,'H2-CONDUCTORES DE BT'!$D$2:$BL$155,6,FALSE)</f>
        <v>114.61</v>
      </c>
      <c r="G20" s="1093" t="str">
        <f>+VLOOKUP(D20,'H2-CONDUCTORES DE BT'!$D$2:$BL$155,7,FALSE)</f>
        <v>kVA</v>
      </c>
      <c r="H20" s="1161">
        <f>+VLOOKUP(D20,'H2-CONDUCTORES DE BT'!$D$2:$BL$155,8,FALSE)</f>
        <v>480</v>
      </c>
      <c r="I20" s="1093">
        <f>+VLOOKUP(D20,'H2-CONDUCTORES DE BT'!$D$2:$BL$155,9,FALSE)</f>
        <v>3</v>
      </c>
      <c r="J20" s="1162">
        <f>+VLOOKUP(D20,'H2-CONDUCTORES DE BT'!$D$2:$BL$155,10,FALSE)</f>
        <v>0.79600000000000004</v>
      </c>
      <c r="K20" s="1163">
        <f>+VLOOKUP(D20,'H2-CONDUCTORES DE BT'!$D$2:$BL$155,28,FALSE)</f>
        <v>192</v>
      </c>
      <c r="L20" s="1164">
        <f>+VLOOKUP(D20,'H2-CONDUCTORES DE BT'!$D$2:$BL$155,11,FALSE)</f>
        <v>0.94099999999999995</v>
      </c>
      <c r="M20" s="1063">
        <f>+VLOOKUP(D20,'H2-CONDUCTORES DE BT'!$D$2:$BL$155,4,FALSE)</f>
        <v>15</v>
      </c>
      <c r="N20" s="1165">
        <f t="shared" ref="N20:N25" si="3">+Z20</f>
        <v>2</v>
      </c>
      <c r="O20" s="1055" t="str">
        <f>IF(VLOOKUP(D20,'H2-CONDUCTORES DE BT'!$D$2:$BL$155,57,FALSE)="Al",VLOOKUP(D20,'H2-CONDUCTORES DE BT'!$D$2:$BL$155,55,FALSE),VLOOKUP(D20,'H2-CONDUCTORES DE BT'!$D$2:$BL$155,36,FALSE))</f>
        <v>2/0 AWG</v>
      </c>
      <c r="P20" s="1091" t="str">
        <f t="shared" ref="P20:P25" si="4">IF(AE20="Cable Armado","Cu","Al")</f>
        <v>Al</v>
      </c>
      <c r="Q20" s="1166"/>
      <c r="R20" s="1155">
        <f t="shared" ref="R20:R32" si="5">+CC20</f>
        <v>8695658.757042205</v>
      </c>
      <c r="S20" s="1155">
        <f t="shared" ref="S20:S32" si="6">+CD20</f>
        <v>9464218.6952566784</v>
      </c>
      <c r="T20" s="1155">
        <f t="shared" ref="T20:T32" si="7">+CE20</f>
        <v>8695658.757042205</v>
      </c>
      <c r="U20" s="1159">
        <v>2</v>
      </c>
      <c r="V20" s="1158" t="s">
        <v>814</v>
      </c>
      <c r="W20" s="1156">
        <f t="shared" ref="W20:W25" si="8">N20</f>
        <v>2</v>
      </c>
      <c r="X20" s="1158" t="s">
        <v>816</v>
      </c>
      <c r="Y20" s="1168" t="str">
        <f t="shared" ref="Y20:Y25" si="9">IF(MIN(R20:T20)=T20,"OPCIÓN TÉCNICA",IF(MIN(R20:T20)=S20,"OPCIÓN 2","OPCIÓN 1"))</f>
        <v>OPCIÓN TÉCNICA</v>
      </c>
      <c r="Z20" s="499">
        <f>+VLOOKUP(D20,'H2-CONDUCTORES DE BT'!$D$2:$BL$155,37,FALSE)</f>
        <v>2</v>
      </c>
      <c r="AA20" s="343" t="str">
        <f>+VLOOKUP(D20,'H2-CONDUCTORES DE BT'!$D$2:$BL$155,55,FALSE)</f>
        <v>2/0 AWG</v>
      </c>
      <c r="AB20" s="343">
        <f>IF(AE20="Multiconductor","N/A",IF(VLOOKUP(D20,'H2-CONDUCTORES DE BT'!$D$2:$BL$155,50,FALSE)&lt;&gt;1,VLOOKUP(D20,'H2-CONDUCTORES DE BT'!$D$2:$BL$155,50,FALSE),IF(VLOOKUP(D20,'H2-CONDUCTORES DE BT'!$D$2:$BL$155,23,FALSE)="BANDEJA",1,IF(VLOOKUP(D20,'H2-CONDUCTORES DE BT'!$D$2:$BL$155,24,FALSE)&lt;&gt;3,IF(((VLOOKUP(D20,'H2-CONDUCTORES DE BT'!$D$2:$BL$155,24,FALSE))/3)=Z20,1),VLOOKUP(D20,'H2-CONDUCTORES DE BT'!$D$2:$BL$155,37,FALSE)))))</f>
        <v>2</v>
      </c>
      <c r="AC20" s="343" t="str">
        <f>IF(AE20="Multiconductor","N/A",(IF((VLOOKUP(D20,'H2-CONDUCTORES DE BT'!$D$2:$BL$155,40,FALSE))="Al",IF((VLOOKUP(D20,'H2-CONDUCTORES DE BT'!$D$2:$BL$155,51,FALSE))="No",LOOKUP((VLOOKUP(D20,'H2-CONDUCTORES DE BT'!$D$2:$BL$155,16,FALSE)),CONDUCTORES!$A$111:$A$131,CONDUCTORES!$C$111:$C$131),(VLOOKUP(D20,'H2-CONDUCTORES DE BT'!$D$2:$BL$155,51,FALSE))),IF((VLOOKUP(D20,'H2-CONDUCTORES DE BT'!$D$2:$BL$155,51,FALSE))="No",LOOKUP((VLOOKUP(D20,'H2-CONDUCTORES DE BT'!$D$2:$BL$155,16,FALSE)),CONDUCTORES!$A$111:$A$131,CONDUCTORES!$B$111:$B$131),(VLOOKUP(D20,'H2-CONDUCTORES DE BT'!$D$2:$BL$155,51,FALSE))))))</f>
        <v>4 AWG</v>
      </c>
      <c r="AD20" s="340">
        <f t="shared" ref="AD20:AD32" si="10">LEN(C20)-LEN(SUBSTITUTE(C20,IF(ISNUMBER(FIND(".",C20)),".",","),""))</f>
        <v>2</v>
      </c>
      <c r="AE20" s="464" t="str">
        <f>+VLOOKUP(D20,'H2-CONDUCTORES DE BT'!$D$2:$BL$155,38,FALSE)</f>
        <v>Monopolar</v>
      </c>
      <c r="AF20" s="531" t="str">
        <f>IF(AE20="Monopolar","N/A",VLOOKUP(D20,'H2-CONDUCTORES DE BT'!$D$2:$BL$192,39,FALSE))</f>
        <v>N/A</v>
      </c>
      <c r="AG20" s="437">
        <f>+VLOOKUP(D20,'H2-CONDUCTORES DE BT'!$D$2:$CL$492,70,FALSE)</f>
        <v>8</v>
      </c>
      <c r="AH20" s="434">
        <f>(VLOOKUP(AG20,CONDUCTORES!$A$9:$G$62,6,FALSE))*(Z20)</f>
        <v>282.60000000000002</v>
      </c>
      <c r="AI20" s="434">
        <f t="shared" ref="AI20:AI31" si="11">1000*((((K20^2)*AT20*AU20*AV20*(1+($BD$4*($BB$4-20))))/AW20)^0.5)</f>
        <v>298.29293225116857</v>
      </c>
      <c r="AJ20" s="434">
        <f>+IF(U20=1,"N/A",IF((AI20/U20)&lt;CONDUCTORES!$F$9,CONDUCTORES!$F$9,IF((AI20/U20)&lt;CONDUCTORES!$F$10,CONDUCTORES!$F$10,IF((AI20/U20)&lt;CONDUCTORES!$F$11,CONDUCTORES!$F$11,IF((AI20/U20)&lt;CONDUCTORES!$F$12,CONDUCTORES!$F$12,IF((AI20/U20)&lt;CONDUCTORES!$F$13,CONDUCTORES!$F$13,IF((AI20/U20)&lt;CONDUCTORES!$F$14,CONDUCTORES!$F$14,IF((AI20/U20)&lt;CONDUCTORES!$F$15,CONDUCTORES!$F$15,IF((AI20/U20)&lt;CONDUCTORES!$F$16,CONDUCTORES!$F$16,IF((AI20/U20)&lt;CONDUCTORES!$F$17,CONDUCTORES!$F$17,IF((AI20/U20)&lt;CONDUCTORES!$F$18,CONDUCTORES!$F$18,IF((AI20/U20)&lt;CONDUCTORES!$F$19,CONDUCTORES!$F$19,IF((AI20/U20)&lt;CONDUCTORES!$F$20,CONDUCTORES!$F$20,IF((AI20/U20)&lt;CONDUCTORES!$F$21,CONDUCTORES!$F$21,IF((AI20/U20)&lt;CONDUCTORES!$F$22,CONDUCTORES!$F$22,CONDUCTORES!$F$23)))))))))))))))</f>
        <v>170.5</v>
      </c>
      <c r="AK20" s="434">
        <f>IF(AF20="2/C  -",IF(AI20&lt;CONDUCTORES!$F$33,CONDUCTORES!$F$33,IF(AI20&lt;CONDUCTORES!$F$36,CONDUCTORES!$F$36,IF(AI20&lt;CONDUCTORES!$F$39,CONDUCTORES!$F$39,IF(AI20&lt;CONDUCTORES!$F$42,CONDUCTORES!$F$42,IF(AI20&lt;CONDUCTORES!$F$45,CONDUCTORES!$F$45,IF(AI20&lt;CONDUCTORES!$F$48,CONDUCTORES!$F$48,IF(AI20&lt;CONDUCTORES!$F$51,CONDUCTORES!$F$51,IF(AI20&lt;CONDUCTORES!$F$54,CONDUCTORES!$F$54,IF(AI20&lt;CONDUCTORES!$F$57,CONDUCTORES!$F$57,CONDUCTORES!$F$60))))))))),0)</f>
        <v>0</v>
      </c>
      <c r="AL20" s="434">
        <f>IF(AF20="3/C  -",IF(AI20&lt;CONDUCTORES!$F$34,CONDUCTORES!$F$34,IF(AI20&lt;CONDUCTORES!$F$37,CONDUCTORES!$F$37,IF(AI20&lt;CONDUCTORES!$F$40,CONDUCTORES!$F$40,IF(AI20&lt;CONDUCTORES!$F$43,CONDUCTORES!$F$43,IF(AI20&lt;CONDUCTORES!$F$46,CONDUCTORES!$F$46,IF(AI20&lt;CONDUCTORES!$F$49,CONDUCTORES!$F$49,IF(AI20&lt;CONDUCTORES!$F$52,CONDUCTORES!$F$52,IF(AI20&lt;CONDUCTORES!$F$55,CONDUCTORES!$F$55,IF(AI20&lt;CONDUCTORES!$F$58,CONDUCTORES!$F$58,CONDUCTORES!$F$61))))))))),0)</f>
        <v>0</v>
      </c>
      <c r="AM20" s="434">
        <f>IF(AF20="4/C  -",IF(AI20&lt;CONDUCTORES!$F$35,CONDUCTORES!$F$35,IF(AI20&lt;CONDUCTORES!$F$38,CONDUCTORES!$F$38,IF(AI20&lt;CONDUCTORES!$F$41,CONDUCTORES!$F$41,IF(AI20&lt;CONDUCTORES!$F$44,CONDUCTORES!$F$44,IF(AI20&lt;CONDUCTORES!$F$47,CONDUCTORES!$F$47,IF(AI20&lt;CONDUCTORES!$F$50,CONDUCTORES!$F$50,IF(AI20&lt;CONDUCTORES!$F$53,CONDUCTORES!$F$53,IF(AI20&lt;CONDUCTORES!$F$56,CONDUCTORES!$F$56,IF(AI20&lt;CONDUCTORES!$F$59,CONDUCTORES!$F$59,CONDUCTORES!$F$62))))))))),0)</f>
        <v>0</v>
      </c>
      <c r="AN20" s="436">
        <f>IF(AE20="Multiconductor",IF(AF20="2/C  -",AK20,IF(AF20="3/C  -",AL20,IF(AF20="4/C  -",AM20,"NO SE CÁLCULO, REVISAR"))),IF(AI20&lt;CONDUCTORES!$F$9,CONDUCTORES!$F$9,IF(AI20&lt;CONDUCTORES!$F$10,CONDUCTORES!$F$10,IF(AI20&lt;CONDUCTORES!$F$11,CONDUCTORES!$F$11,IF(AI20&lt;CONDUCTORES!$F$12,CONDUCTORES!$F$12,IF(AI20&lt;CONDUCTORES!$F$13,CONDUCTORES!$F$13,IF(AI20&lt;CONDUCTORES!$F$14,CONDUCTORES!$F$14,IF(AI20&lt;CONDUCTORES!$F$15,CONDUCTORES!$F$15,IF(AI20&lt;CONDUCTORES!$F$16,CONDUCTORES!$F$16,IF(AI20&lt;CONDUCTORES!$F$17,CONDUCTORES!$F$17,IF(AI20&lt;CONDUCTORES!$F$18,CONDUCTORES!$F$18,IF(AI20&lt;CONDUCTORES!$F$19,CONDUCTORES!$F$19,IF(AI20&lt;CONDUCTORES!$F$20,CONDUCTORES!$F$20,IF(AI20&lt;CONDUCTORES!$F$21,CONDUCTORES!$F$21,IF(AI20&lt;CONDUCTORES!$F$22,CONDUCTORES!$F$22,CONDUCTORES!$F$23)))))))))))))))</f>
        <v>333.3</v>
      </c>
      <c r="AO20" s="1197" t="str">
        <f t="shared" ref="AO20:AO31" si="12">+V20</f>
        <v>2/0 AWG</v>
      </c>
      <c r="AP20" s="1196" cm="1">
        <f t="array" ref="AP20">IF(AE20="Multiconductor",INDEX(CONDUCTORES!$A$24:$A$62,MATCH(1,(CONDUCTORES!$B$24:$B$62=AO20)*(CONDUCTORES!$C$24:$C$62=AF20),0)),VLOOKUP(AO20,CONDUCTORES!$B$9:$X$23,23,FALSE))</f>
        <v>8</v>
      </c>
      <c r="AQ20" s="1197" t="str">
        <f t="shared" ref="AQ20:AQ31" si="13">+X20</f>
        <v>3/0 AWG</v>
      </c>
      <c r="AR20" s="437" cm="1">
        <f t="array" ref="AR20">IF(AE20="Multiconductor",INDEX(CONDUCTORES!$A$24:$A$62,MATCH(1,(CONDUCTORES!$B$24:$B$62=AQ20)*(CONDUCTORES!$C$24:$C$62=AF20),0)),VLOOKUP(AQ20,CONDUCTORES!$B$9:$X$23,23,FALSE))</f>
        <v>9</v>
      </c>
      <c r="AS20" s="438">
        <f t="shared" ref="AS20:AS31" si="14">+K20</f>
        <v>192</v>
      </c>
      <c r="AT20" s="1195">
        <f t="shared" si="1"/>
        <v>26993.575512884076</v>
      </c>
      <c r="AU20" s="439">
        <f t="shared" si="2"/>
        <v>3.03E-8</v>
      </c>
      <c r="AV20" s="437">
        <f t="shared" ref="AV20:AV31" si="15">+(1+BE20+BF20)*(1+BG20+BH20)</f>
        <v>1.037379204495221</v>
      </c>
      <c r="AW20" s="440">
        <f>VLOOKUP(AG20,COSTOS!$A$7:$Z$94,7,FALSE)</f>
        <v>398.74734607218682</v>
      </c>
      <c r="AX20" s="437">
        <f>((2.5)/(18*LN((VLOOKUP(O20,CONDUCTORES!$B$9:$AF$23,24,FALSE))/(VLOOKUP(O20,CONDUCTORES!$B$9:$D$23,3,FALSE)))))*-0.000000001</f>
        <v>5.8926535293154483E-11</v>
      </c>
      <c r="AY20" s="437">
        <f t="shared" ref="AY20:AY31" si="16">+(2*PI()*60)*(AX20)*(H20^2)*(0.001)</f>
        <v>5.1182854146240435E-6</v>
      </c>
      <c r="AZ20" s="437">
        <f>(0.12)*(5000)*(LN((VLOOKUP(O20,CONDUCTORES!$B$9:$AF$23,24,FALSE))/(VLOOKUP(O20,CONDUCTORES!$B$9:$D$23,3,FALSE))))</f>
        <v>-1414.1902780938522</v>
      </c>
      <c r="BA20" s="437">
        <f>+($AW$3)-(((K20^2)*(VLOOKUP(O20,CONDUCTORES!$B$9:$K$23,7,FALSE)))+(0.5*AY20))*(AZ20)</f>
        <v>17932681.942955174</v>
      </c>
      <c r="BB20" s="441">
        <f t="shared" ref="BB20:BB31" si="17">1+$BD$4*(BA20-20)</f>
        <v>72269.627630109346</v>
      </c>
      <c r="BC20" s="437">
        <f>+SQRT(((8*PI()*60)/(VLOOKUP(O20,CONDUCTORES!$B$9:$K$23,9,FALSE)))*(0.0000001)*(1))</f>
        <v>1.6543396620032083E-2</v>
      </c>
      <c r="BD20" s="437">
        <f>+SQRT(((8*PI()*60)/(VLOOKUP(O20,CONDUCTORES!$B$9:$K$23,9,FALSE)))*(0.0000001)*(1))</f>
        <v>1.6543396620032083E-2</v>
      </c>
      <c r="BE20" s="442">
        <f>((BD20^4)/((192)+((0.8)*(BD20^4))))*(((VLOOKUP(O20,CONDUCTORES!$B$9:$K$23,9,FALSE))/(1))^2)*(2.9)</f>
        <v>3.4346223305071652E-10</v>
      </c>
      <c r="BF20" s="442">
        <f t="shared" ref="BF20:BF31" si="18">+(BC20^4)/((192)+((0.8)*(BC20^4)))</f>
        <v>3.9011935602742492E-10</v>
      </c>
      <c r="BG20" s="437">
        <f t="shared" ref="BG20:BG31" si="19">+((BB20)/(-AZ20))*(1/(1+((BB20)/(52.9))))</f>
        <v>3.7379203734218942E-2</v>
      </c>
      <c r="BH20" s="437">
        <v>0</v>
      </c>
      <c r="BI20" s="434">
        <f>(IF(AE20="Multiconductor",VLOOKUP(AP20,CONDUCTORES!$A$24:$G$62,6,FALSE),VLOOKUP(AO20,CONDUCTORES!$B$9:$F$23,5,FALSE)))*(U20)</f>
        <v>282.60000000000002</v>
      </c>
      <c r="BJ20" s="434">
        <f>(IF(AE20="Multiconductor",VLOOKUP(AR20,CONDUCTORES!$A$24:$G$62,6,FALSE),VLOOKUP(AQ20,CONDUCTORES!$B$9:$F$23,5,FALSE)))*(U20)</f>
        <v>341</v>
      </c>
      <c r="BK20" s="1194">
        <f t="shared" ref="BK20:BK31" si="20">+(AU20*AV20*(1+$BD$4*($BB$4-20))/(BI20))*10^6</f>
        <v>1.2616785022031879E-4</v>
      </c>
      <c r="BL20" s="443">
        <f t="shared" ref="BL20:BL31" si="21">+(AU20*AV20*(1+$BD$4*($BB$4-20))/(BJ20))*10^6</f>
        <v>1.0456021839373047E-4</v>
      </c>
      <c r="BM20" s="443">
        <f t="shared" ref="BM20:BM31" si="22">+(AU20*AV20*(1+$BD$4*($BB$4-20))/(AH20))*10^6</f>
        <v>1.2616785022031879E-4</v>
      </c>
      <c r="BN20" s="1192">
        <f t="shared" ref="BN20:BN31" si="23">(M20)*((K20)^2)*(BK20)*(AT20)</f>
        <v>1883227.7010422051</v>
      </c>
      <c r="BO20" s="1198">
        <f t="shared" ref="BO20:BO31" si="24">(M20)*((K20)^2)*(BL20)*(AT20)</f>
        <v>1560704.2472566778</v>
      </c>
      <c r="BP20" s="444">
        <f t="shared" ref="BP20:BP31" si="25">(M20)*((K20)^2)*(BM20)*(AT20)</f>
        <v>1883227.7010422051</v>
      </c>
      <c r="BQ20" s="1193">
        <f>VLOOKUP(AP20,COSTOS!$A$7:$I$60,4,FALSE)</f>
        <v>45785.678400000004</v>
      </c>
      <c r="BR20" s="1193">
        <f>VLOOKUP(AP20,COSTOS!$A$7:$I$60,5,FALSE)</f>
        <v>29908</v>
      </c>
      <c r="BS20" s="1193">
        <f t="shared" ref="BS20:BS31" si="26">+BQ20+BR20</f>
        <v>75693.678400000004</v>
      </c>
      <c r="BT20" s="1192">
        <f t="shared" ref="BT20:BT31" si="27">+BS20*M20*(IF(AE20="Monopolar",U20*I20,U20*Z20))</f>
        <v>6812431.0559999999</v>
      </c>
      <c r="BU20" s="444">
        <f>VLOOKUP(AR20,COSTOS!$A$7:$I$60,4,FALSE)</f>
        <v>57908.8272</v>
      </c>
      <c r="BV20" s="444">
        <f>VLOOKUP(AR20,COSTOS!$A$7:$I$60,5,FALSE)</f>
        <v>29908</v>
      </c>
      <c r="BW20" s="1198">
        <f t="shared" ref="BW20:BW31" si="28">+BU20+BV20</f>
        <v>87816.8272</v>
      </c>
      <c r="BX20" s="1198">
        <f t="shared" ref="BX20:BX31" si="29">+BW20*M20*(IF(AE20="Monopolar",W20*I20,U20*Z20))</f>
        <v>7903514.4480000008</v>
      </c>
      <c r="BY20" s="444">
        <f>VLOOKUP(AG20,COSTOS!$A$7:$I$60,4,FALSE)</f>
        <v>45785.678400000004</v>
      </c>
      <c r="BZ20" s="444">
        <f>VLOOKUP(AG20,COSTOS!$A$7:$I$60,5,FALSE)</f>
        <v>29908</v>
      </c>
      <c r="CA20" s="444">
        <f t="shared" ref="CA20:CA31" si="30">+BY20+BZ20</f>
        <v>75693.678400000004</v>
      </c>
      <c r="CB20" s="444">
        <f t="shared" ref="CB20:CB31" si="31">+CA20*M20*(IF(AE20="Monopolar",N20*I20,N20*Z20))</f>
        <v>6812431.0559999999</v>
      </c>
      <c r="CC20" s="444">
        <f t="shared" ref="CC20:CC31" si="32">(BT20)+(BN20)</f>
        <v>8695658.757042205</v>
      </c>
      <c r="CD20" s="1198">
        <f t="shared" ref="CD20:CD31" si="33">(BX20)+(BO20)</f>
        <v>9464218.6952566784</v>
      </c>
      <c r="CE20" s="444">
        <f t="shared" ref="CE20:CE31" si="34">(CB20)+(BP20)</f>
        <v>8695658.757042205</v>
      </c>
      <c r="CF20" s="445"/>
    </row>
    <row r="21" spans="2:84" s="408" customFormat="1" ht="26.4" customHeight="1" x14ac:dyDescent="0.25">
      <c r="B21" s="372">
        <v>3</v>
      </c>
      <c r="C21" s="852" t="str">
        <f>+_xlfn.CONCAT($C$18,".",SUBTOTAL(103,$X$19:X21))</f>
        <v>5.2.3</v>
      </c>
      <c r="D21" s="1040" t="str">
        <f>+'H2-CONDUCTORES DE BT'!D20</f>
        <v>PE04</v>
      </c>
      <c r="E21" s="1088" t="str">
        <f>+VLOOKUP(D21,'H2-CONDUCTORES DE BT'!$D$2:$BL$155,2,FALSE)</f>
        <v>POSTE BAJA TENSIÓN (EXISTENTE)</v>
      </c>
      <c r="F21" s="1160">
        <f>+VLOOKUP(D21,'H2-CONDUCTORES DE BT'!$D$2:$BL$155,6,FALSE)</f>
        <v>114.61</v>
      </c>
      <c r="G21" s="1093" t="str">
        <f>+VLOOKUP(D21,'H2-CONDUCTORES DE BT'!$D$2:$BL$155,7,FALSE)</f>
        <v>kVA</v>
      </c>
      <c r="H21" s="1161">
        <f>+VLOOKUP(D21,'H2-CONDUCTORES DE BT'!$D$2:$BL$155,8,FALSE)</f>
        <v>480</v>
      </c>
      <c r="I21" s="1093">
        <f>+VLOOKUP(D21,'H2-CONDUCTORES DE BT'!$D$2:$BL$155,9,FALSE)</f>
        <v>3</v>
      </c>
      <c r="J21" s="1162">
        <f>+VLOOKUP(D21,'H2-CONDUCTORES DE BT'!$D$2:$BL$155,10,FALSE)</f>
        <v>0.79600000000000004</v>
      </c>
      <c r="K21" s="1163">
        <f>+VLOOKUP(D21,'H2-CONDUCTORES DE BT'!$D$2:$BL$155,28,FALSE)</f>
        <v>440</v>
      </c>
      <c r="L21" s="1164">
        <f>+VLOOKUP(D21,'H2-CONDUCTORES DE BT'!$D$2:$BL$155,11,FALSE)</f>
        <v>0.94099999999999995</v>
      </c>
      <c r="M21" s="1063">
        <f>+VLOOKUP(D21,'H2-CONDUCTORES DE BT'!$D$2:$BL$155,4,FALSE)</f>
        <v>228</v>
      </c>
      <c r="N21" s="1165">
        <f t="shared" si="3"/>
        <v>2</v>
      </c>
      <c r="O21" s="1055" t="str">
        <f>IF(VLOOKUP(D21,'H2-CONDUCTORES DE BT'!$D$2:$BL$155,57,FALSE)="Al",VLOOKUP(D21,'H2-CONDUCTORES DE BT'!$D$2:$BL$155,55,FALSE),VLOOKUP(D21,'H2-CONDUCTORES DE BT'!$D$2:$BL$155,36,FALSE))</f>
        <v>4/0 AWG</v>
      </c>
      <c r="P21" s="1091" t="str">
        <f t="shared" si="4"/>
        <v>Al</v>
      </c>
      <c r="Q21" s="1166"/>
      <c r="R21" s="1155">
        <f t="shared" si="5"/>
        <v>308573316.63505512</v>
      </c>
      <c r="S21" s="1155">
        <f t="shared" si="6"/>
        <v>342853236.49835515</v>
      </c>
      <c r="T21" s="1155">
        <f t="shared" si="7"/>
        <v>240162067.17077756</v>
      </c>
      <c r="U21" s="1159">
        <v>1</v>
      </c>
      <c r="V21" s="1158" t="s">
        <v>816</v>
      </c>
      <c r="W21" s="1156">
        <f t="shared" si="8"/>
        <v>2</v>
      </c>
      <c r="X21" s="1158" t="s">
        <v>818</v>
      </c>
      <c r="Y21" s="1168" t="str">
        <f t="shared" si="9"/>
        <v>OPCIÓN TÉCNICA</v>
      </c>
      <c r="Z21" s="499">
        <f>+VLOOKUP(D21,'H2-CONDUCTORES DE BT'!$D$2:$BL$155,37,FALSE)</f>
        <v>2</v>
      </c>
      <c r="AA21" s="343" t="str">
        <f>+VLOOKUP(D21,'H2-CONDUCTORES DE BT'!$D$2:$BL$155,55,FALSE)</f>
        <v>4/0 AWG</v>
      </c>
      <c r="AB21" s="343">
        <f>IF(AE21="Multiconductor","N/A",IF(VLOOKUP(D21,'H2-CONDUCTORES DE BT'!$D$2:$BL$155,50,FALSE)&lt;&gt;1,VLOOKUP(D21,'H2-CONDUCTORES DE BT'!$D$2:$BL$155,50,FALSE),IF(VLOOKUP(D21,'H2-CONDUCTORES DE BT'!$D$2:$BL$155,23,FALSE)="BANDEJA",1,IF(VLOOKUP(D21,'H2-CONDUCTORES DE BT'!$D$2:$BL$155,24,FALSE)&lt;&gt;3,IF(((VLOOKUP(D21,'H2-CONDUCTORES DE BT'!$D$2:$BL$155,24,FALSE))/3)=Z21,1),VLOOKUP(D21,'H2-CONDUCTORES DE BT'!$D$2:$BL$155,37,FALSE)))))</f>
        <v>2</v>
      </c>
      <c r="AC21" s="343" t="str">
        <f>IF(AE21="Multiconductor","N/A",(IF((VLOOKUP(D21,'H2-CONDUCTORES DE BT'!$D$2:$BL$155,40,FALSE))="Al",IF((VLOOKUP(D21,'H2-CONDUCTORES DE BT'!$D$2:$BL$155,51,FALSE))="No",LOOKUP((VLOOKUP(D21,'H2-CONDUCTORES DE BT'!$D$2:$BL$155,16,FALSE)),CONDUCTORES!$A$111:$A$131,CONDUCTORES!$C$111:$C$131),(VLOOKUP(D21,'H2-CONDUCTORES DE BT'!$D$2:$BL$155,51,FALSE))),IF((VLOOKUP(D21,'H2-CONDUCTORES DE BT'!$D$2:$BL$155,51,FALSE))="No",LOOKUP((VLOOKUP(D21,'H2-CONDUCTORES DE BT'!$D$2:$BL$155,16,FALSE)),CONDUCTORES!$A$111:$A$131,CONDUCTORES!$B$111:$B$131),(VLOOKUP(D21,'H2-CONDUCTORES DE BT'!$D$2:$BL$155,51,FALSE))))))</f>
        <v>4/0 AWG</v>
      </c>
      <c r="AD21" s="340">
        <f t="shared" si="10"/>
        <v>2</v>
      </c>
      <c r="AE21" s="464" t="str">
        <f>+VLOOKUP(D21,'H2-CONDUCTORES DE BT'!$D$2:$BL$155,38,FALSE)</f>
        <v>Monopolar</v>
      </c>
      <c r="AF21" s="531" t="str">
        <f>IF(AE21="Monopolar","N/A",VLOOKUP(D21,'H2-CONDUCTORES DE BT'!$D$2:$BL$192,39,FALSE))</f>
        <v>N/A</v>
      </c>
      <c r="AG21" s="437">
        <f>+VLOOKUP(D21,'H2-CONDUCTORES DE BT'!$D$2:$CL$492,70,FALSE)</f>
        <v>10</v>
      </c>
      <c r="AH21" s="434">
        <f>(VLOOKUP(AG21,CONDUCTORES!$A$9:$G$62,6,FALSE))*(Z21)</f>
        <v>412.6</v>
      </c>
      <c r="AI21" s="434">
        <f t="shared" si="11"/>
        <v>739.64359790177878</v>
      </c>
      <c r="AJ21" s="434" t="str">
        <f>+IF(U21=1,"N/A",IF((AI21/U21)&lt;CONDUCTORES!$F$9,CONDUCTORES!$F$9,IF((AI21/U21)&lt;CONDUCTORES!$F$10,CONDUCTORES!$F$10,IF((AI21/U21)&lt;CONDUCTORES!$F$11,CONDUCTORES!$F$11,IF((AI21/U21)&lt;CONDUCTORES!$F$12,CONDUCTORES!$F$12,IF((AI21/U21)&lt;CONDUCTORES!$F$13,CONDUCTORES!$F$13,IF((AI21/U21)&lt;CONDUCTORES!$F$14,CONDUCTORES!$F$14,IF((AI21/U21)&lt;CONDUCTORES!$F$15,CONDUCTORES!$F$15,IF((AI21/U21)&lt;CONDUCTORES!$F$16,CONDUCTORES!$F$16,IF((AI21/U21)&lt;CONDUCTORES!$F$17,CONDUCTORES!$F$17,IF((AI21/U21)&lt;CONDUCTORES!$F$18,CONDUCTORES!$F$18,IF((AI21/U21)&lt;CONDUCTORES!$F$19,CONDUCTORES!$F$19,IF((AI21/U21)&lt;CONDUCTORES!$F$20,CONDUCTORES!$F$20,IF((AI21/U21)&lt;CONDUCTORES!$F$21,CONDUCTORES!$F$21,IF((AI21/U21)&lt;CONDUCTORES!$F$22,CONDUCTORES!$F$22,CONDUCTORES!$F$23)))))))))))))))</f>
        <v>N/A</v>
      </c>
      <c r="AK21" s="434">
        <f>IF(AF21="2/C  -",IF(AI21&lt;CONDUCTORES!$F$33,CONDUCTORES!$F$33,IF(AI21&lt;CONDUCTORES!$F$36,CONDUCTORES!$F$36,IF(AI21&lt;CONDUCTORES!$F$39,CONDUCTORES!$F$39,IF(AI21&lt;CONDUCTORES!$F$42,CONDUCTORES!$F$42,IF(AI21&lt;CONDUCTORES!$F$45,CONDUCTORES!$F$45,IF(AI21&lt;CONDUCTORES!$F$48,CONDUCTORES!$F$48,IF(AI21&lt;CONDUCTORES!$F$51,CONDUCTORES!$F$51,IF(AI21&lt;CONDUCTORES!$F$54,CONDUCTORES!$F$54,IF(AI21&lt;CONDUCTORES!$F$57,CONDUCTORES!$F$57,CONDUCTORES!$F$60))))))))),0)</f>
        <v>0</v>
      </c>
      <c r="AL21" s="434">
        <f>IF(AF21="3/C  -",IF(AI21&lt;CONDUCTORES!$F$34,CONDUCTORES!$F$34,IF(AI21&lt;CONDUCTORES!$F$37,CONDUCTORES!$F$37,IF(AI21&lt;CONDUCTORES!$F$40,CONDUCTORES!$F$40,IF(AI21&lt;CONDUCTORES!$F$43,CONDUCTORES!$F$43,IF(AI21&lt;CONDUCTORES!$F$46,CONDUCTORES!$F$46,IF(AI21&lt;CONDUCTORES!$F$49,CONDUCTORES!$F$49,IF(AI21&lt;CONDUCTORES!$F$52,CONDUCTORES!$F$52,IF(AI21&lt;CONDUCTORES!$F$55,CONDUCTORES!$F$55,IF(AI21&lt;CONDUCTORES!$F$58,CONDUCTORES!$F$58,CONDUCTORES!$F$61))))))))),0)</f>
        <v>0</v>
      </c>
      <c r="AM21" s="434">
        <f>IF(AF21="4/C  -",IF(AI21&lt;CONDUCTORES!$F$35,CONDUCTORES!$F$35,IF(AI21&lt;CONDUCTORES!$F$38,CONDUCTORES!$F$38,IF(AI21&lt;CONDUCTORES!$F$41,CONDUCTORES!$F$41,IF(AI21&lt;CONDUCTORES!$F$44,CONDUCTORES!$F$44,IF(AI21&lt;CONDUCTORES!$F$47,CONDUCTORES!$F$47,IF(AI21&lt;CONDUCTORES!$F$50,CONDUCTORES!$F$50,IF(AI21&lt;CONDUCTORES!$F$53,CONDUCTORES!$F$53,IF(AI21&lt;CONDUCTORES!$F$56,CONDUCTORES!$F$56,IF(AI21&lt;CONDUCTORES!$F$59,CONDUCTORES!$F$59,CONDUCTORES!$F$62))))))))),0)</f>
        <v>0</v>
      </c>
      <c r="AN21" s="436">
        <f>IF(AE21="Multiconductor",IF(AF21="2/C  -",AK21,IF(AF21="3/C  -",AL21,IF(AF21="4/C  -",AM21,"NO SE CÁLCULO, REVISAR"))),IF(AI21&lt;CONDUCTORES!$F$9,CONDUCTORES!$F$9,IF(AI21&lt;CONDUCTORES!$F$10,CONDUCTORES!$F$10,IF(AI21&lt;CONDUCTORES!$F$11,CONDUCTORES!$F$11,IF(AI21&lt;CONDUCTORES!$F$12,CONDUCTORES!$F$12,IF(AI21&lt;CONDUCTORES!$F$13,CONDUCTORES!$F$13,IF(AI21&lt;CONDUCTORES!$F$14,CONDUCTORES!$F$14,IF(AI21&lt;CONDUCTORES!$F$15,CONDUCTORES!$F$15,IF(AI21&lt;CONDUCTORES!$F$16,CONDUCTORES!$F$16,IF(AI21&lt;CONDUCTORES!$F$17,CONDUCTORES!$F$17,IF(AI21&lt;CONDUCTORES!$F$18,CONDUCTORES!$F$18,IF(AI21&lt;CONDUCTORES!$F$19,CONDUCTORES!$F$19,IF(AI21&lt;CONDUCTORES!$F$20,CONDUCTORES!$F$20,IF(AI21&lt;CONDUCTORES!$F$21,CONDUCTORES!$F$21,IF(AI21&lt;CONDUCTORES!$F$22,CONDUCTORES!$F$22,CONDUCTORES!$F$23)))))))))))))))</f>
        <v>872.2</v>
      </c>
      <c r="AO21" s="1197" t="str">
        <f t="shared" si="12"/>
        <v>3/0 AWG</v>
      </c>
      <c r="AP21" s="1196" cm="1">
        <f t="array" ref="AP21">IF(AE21="Multiconductor",INDEX(CONDUCTORES!$A$24:$A$62,MATCH(1,(CONDUCTORES!$B$24:$B$62=AO21)*(CONDUCTORES!$C$24:$C$62=AF21),0)),VLOOKUP(AO21,CONDUCTORES!$B$9:$X$23,23,FALSE))</f>
        <v>9</v>
      </c>
      <c r="AQ21" s="1197" t="str">
        <f t="shared" si="13"/>
        <v>4/0 AWG</v>
      </c>
      <c r="AR21" s="437" cm="1">
        <f t="array" ref="AR21">IF(AE21="Multiconductor",INDEX(CONDUCTORES!$A$24:$A$62,MATCH(1,(CONDUCTORES!$B$24:$B$62=AQ21)*(CONDUCTORES!$C$24:$C$62=AF21),0)),VLOOKUP(AQ21,CONDUCTORES!$B$9:$X$23,23,FALSE))</f>
        <v>10</v>
      </c>
      <c r="AS21" s="438">
        <f t="shared" si="14"/>
        <v>440</v>
      </c>
      <c r="AT21" s="1195">
        <f t="shared" si="1"/>
        <v>26993.575512884076</v>
      </c>
      <c r="AU21" s="439">
        <f t="shared" si="2"/>
        <v>3.03E-8</v>
      </c>
      <c r="AV21" s="437">
        <f t="shared" si="15"/>
        <v>1.0346140833368915</v>
      </c>
      <c r="AW21" s="440">
        <f>VLOOKUP(AG21,COSTOS!$A$7:$Z$94,7,FALSE)</f>
        <v>339.68977217644203</v>
      </c>
      <c r="AX21" s="437">
        <f>((2.5)/(18*LN((VLOOKUP(O21,CONDUCTORES!$B$9:$AF$23,24,FALSE))/(VLOOKUP(O21,CONDUCTORES!$B$9:$D$23,3,FALSE)))))*-0.000000001</f>
        <v>5.4538704635077959E-11</v>
      </c>
      <c r="AY21" s="437">
        <f t="shared" si="16"/>
        <v>4.7371639122763179E-6</v>
      </c>
      <c r="AZ21" s="437">
        <f>(0.12)*(5000)*(LN((VLOOKUP(O21,CONDUCTORES!$B$9:$AF$23,24,FALSE))/(VLOOKUP(O21,CONDUCTORES!$B$9:$D$23,3,FALSE))))</f>
        <v>-1527.966861166251</v>
      </c>
      <c r="BA21" s="437">
        <f>+($AW$3)-(((K21^2)*(VLOOKUP(O21,CONDUCTORES!$B$9:$K$23,7,FALSE)))+(0.5*AY21))*(AZ21)</f>
        <v>64105192.524147771</v>
      </c>
      <c r="BB21" s="441">
        <f t="shared" si="17"/>
        <v>258344.84527231549</v>
      </c>
      <c r="BC21" s="437">
        <f>+SQRT(((8*PI()*60)/(VLOOKUP(O21,CONDUCTORES!$B$9:$K$23,9,FALSE)))*(0.0000001)*(1))</f>
        <v>2.0929912451677097E-2</v>
      </c>
      <c r="BD21" s="437">
        <f>+SQRT(((8*PI()*60)/(VLOOKUP(O21,CONDUCTORES!$B$9:$K$23,9,FALSE)))*(0.0000001)*(1))</f>
        <v>2.0929912451677097E-2</v>
      </c>
      <c r="BE21" s="442">
        <f>((BD21^4)/((192)+((0.8)*(BD21^4))))*(((VLOOKUP(O21,CONDUCTORES!$B$9:$K$23,9,FALSE))/(1))^2)*(2.9)</f>
        <v>3.4346223288328617E-10</v>
      </c>
      <c r="BF21" s="442">
        <f t="shared" si="18"/>
        <v>9.994669044899067E-10</v>
      </c>
      <c r="BG21" s="437">
        <f t="shared" si="19"/>
        <v>3.4614081947478247E-2</v>
      </c>
      <c r="BH21" s="437">
        <v>0</v>
      </c>
      <c r="BI21" s="434">
        <f>(IF(AE21="Multiconductor",VLOOKUP(AP21,CONDUCTORES!$A$24:$G$62,6,FALSE),VLOOKUP(AO21,CONDUCTORES!$B$9:$F$23,5,FALSE)))*(U21)</f>
        <v>170.5</v>
      </c>
      <c r="BJ21" s="434">
        <f>(IF(AE21="Multiconductor",VLOOKUP(AR21,CONDUCTORES!$A$24:$G$62,6,FALSE),VLOOKUP(AQ21,CONDUCTORES!$B$9:$F$23,5,FALSE)))*(U21)</f>
        <v>206.3</v>
      </c>
      <c r="BK21" s="1194">
        <f t="shared" si="20"/>
        <v>2.0856302890624021E-4</v>
      </c>
      <c r="BL21" s="443">
        <f t="shared" si="21"/>
        <v>1.7237031715227317E-4</v>
      </c>
      <c r="BM21" s="443">
        <f t="shared" si="22"/>
        <v>8.6185158576136586E-5</v>
      </c>
      <c r="BN21" s="1192">
        <f t="shared" si="23"/>
        <v>248506606.83025515</v>
      </c>
      <c r="BO21" s="1198">
        <f t="shared" si="24"/>
        <v>205382338.65515509</v>
      </c>
      <c r="BP21" s="444">
        <f t="shared" si="25"/>
        <v>102691169.32757755</v>
      </c>
      <c r="BQ21" s="1193">
        <f>VLOOKUP(AP21,COSTOS!$A$7:$I$60,4,FALSE)</f>
        <v>57908.8272</v>
      </c>
      <c r="BR21" s="1193">
        <f>VLOOKUP(AP21,COSTOS!$A$7:$I$60,5,FALSE)</f>
        <v>29908</v>
      </c>
      <c r="BS21" s="1193">
        <f t="shared" si="26"/>
        <v>87816.8272</v>
      </c>
      <c r="BT21" s="1192">
        <f t="shared" si="27"/>
        <v>60066709.804799996</v>
      </c>
      <c r="BU21" s="444">
        <f>VLOOKUP(AR21,COSTOS!$A$7:$I$60,4,FALSE)</f>
        <v>70582.42240000001</v>
      </c>
      <c r="BV21" s="444">
        <f>VLOOKUP(AR21,COSTOS!$A$7:$I$60,5,FALSE)</f>
        <v>29908</v>
      </c>
      <c r="BW21" s="1198">
        <f t="shared" si="28"/>
        <v>100490.42240000001</v>
      </c>
      <c r="BX21" s="1198">
        <f t="shared" si="29"/>
        <v>137470897.84320003</v>
      </c>
      <c r="BY21" s="444">
        <f>VLOOKUP(AG21,COSTOS!$A$7:$I$60,4,FALSE)</f>
        <v>70582.42240000001</v>
      </c>
      <c r="BZ21" s="444">
        <f>VLOOKUP(AG21,COSTOS!$A$7:$I$60,5,FALSE)</f>
        <v>29908</v>
      </c>
      <c r="CA21" s="444">
        <f t="shared" si="30"/>
        <v>100490.42240000001</v>
      </c>
      <c r="CB21" s="444">
        <f t="shared" si="31"/>
        <v>137470897.84320003</v>
      </c>
      <c r="CC21" s="444">
        <f t="shared" si="32"/>
        <v>308573316.63505512</v>
      </c>
      <c r="CD21" s="1198">
        <f t="shared" si="33"/>
        <v>342853236.49835515</v>
      </c>
      <c r="CE21" s="444">
        <f t="shared" si="34"/>
        <v>240162067.17077756</v>
      </c>
      <c r="CF21" s="445"/>
    </row>
    <row r="22" spans="2:84" s="408" customFormat="1" ht="27" customHeight="1" x14ac:dyDescent="0.25">
      <c r="B22" s="372">
        <v>4</v>
      </c>
      <c r="C22" s="852" t="str">
        <f>+_xlfn.CONCAT($C$18,".",SUBTOTAL(103,$X$19:X22))</f>
        <v>5.2.4</v>
      </c>
      <c r="D22" s="1040" t="str">
        <f>+'H2-CONDUCTORES DE BT'!D21</f>
        <v>TBT-DT-97</v>
      </c>
      <c r="E22" s="1088" t="str">
        <f>+VLOOKUP(D22,'H2-CONDUCTORES DE BT'!$D$2:$BL$155,2,FALSE)</f>
        <v>TABLERO BAJA TENSIÓN (EXISTENTE)</v>
      </c>
      <c r="F22" s="1160">
        <f>+VLOOKUP(D22,'H2-CONDUCTORES DE BT'!$D$2:$BL$155,6,FALSE)</f>
        <v>114.61</v>
      </c>
      <c r="G22" s="1093" t="str">
        <f>+VLOOKUP(D22,'H2-CONDUCTORES DE BT'!$D$2:$BL$155,7,FALSE)</f>
        <v>kVA</v>
      </c>
      <c r="H22" s="1161">
        <f>+VLOOKUP(D22,'H2-CONDUCTORES DE BT'!$D$2:$BL$155,8,FALSE)</f>
        <v>480</v>
      </c>
      <c r="I22" s="1093">
        <f>+VLOOKUP(D22,'H2-CONDUCTORES DE BT'!$D$2:$BL$155,9,FALSE)</f>
        <v>3</v>
      </c>
      <c r="J22" s="1162">
        <f>+VLOOKUP(D22,'H2-CONDUCTORES DE BT'!$D$2:$BL$155,10,FALSE)</f>
        <v>0.79600000000000004</v>
      </c>
      <c r="K22" s="1163">
        <f>+VLOOKUP(D22,'H2-CONDUCTORES DE BT'!$D$2:$BL$155,28,FALSE)</f>
        <v>192</v>
      </c>
      <c r="L22" s="1164">
        <f>+VLOOKUP(D22,'H2-CONDUCTORES DE BT'!$D$2:$BL$155,11,FALSE)</f>
        <v>0.94099999999999995</v>
      </c>
      <c r="M22" s="1063">
        <f>+VLOOKUP(D22,'H2-CONDUCTORES DE BT'!$D$2:$BL$155,4,FALSE)</f>
        <v>15</v>
      </c>
      <c r="N22" s="1165">
        <f t="shared" si="3"/>
        <v>2</v>
      </c>
      <c r="O22" s="1055" t="str">
        <f>IF(VLOOKUP(D22,'H2-CONDUCTORES DE BT'!$D$2:$BL$155,57,FALSE)="Al",VLOOKUP(D22,'H2-CONDUCTORES DE BT'!$D$2:$BL$155,55,FALSE),VLOOKUP(D22,'H2-CONDUCTORES DE BT'!$D$2:$BL$155,36,FALSE))</f>
        <v>2/0 AWG</v>
      </c>
      <c r="P22" s="1091" t="str">
        <f t="shared" si="4"/>
        <v>Al</v>
      </c>
      <c r="Q22" s="1166"/>
      <c r="R22" s="1155">
        <f t="shared" si="5"/>
        <v>8981385.6773530841</v>
      </c>
      <c r="S22" s="1155">
        <f t="shared" si="6"/>
        <v>10578886.45808441</v>
      </c>
      <c r="T22" s="1155">
        <f t="shared" si="7"/>
        <v>8695658.757042205</v>
      </c>
      <c r="U22" s="1159">
        <v>1</v>
      </c>
      <c r="V22" s="1158" t="s">
        <v>609</v>
      </c>
      <c r="W22" s="1156">
        <f t="shared" si="8"/>
        <v>2</v>
      </c>
      <c r="X22" s="1158" t="s">
        <v>814</v>
      </c>
      <c r="Y22" s="1168" t="str">
        <f t="shared" si="9"/>
        <v>OPCIÓN TÉCNICA</v>
      </c>
      <c r="Z22" s="499">
        <f>+VLOOKUP(D22,'H2-CONDUCTORES DE BT'!$D$2:$BL$155,37,FALSE)</f>
        <v>2</v>
      </c>
      <c r="AA22" s="343" t="str">
        <f>+VLOOKUP(D22,'H2-CONDUCTORES DE BT'!$D$2:$BL$155,55,FALSE)</f>
        <v>2/0 AWG</v>
      </c>
      <c r="AB22" s="343">
        <f>IF(AE22="Multiconductor","N/A",IF(VLOOKUP(D22,'H2-CONDUCTORES DE BT'!$D$2:$BL$155,50,FALSE)&lt;&gt;1,VLOOKUP(D22,'H2-CONDUCTORES DE BT'!$D$2:$BL$155,50,FALSE),IF(VLOOKUP(D22,'H2-CONDUCTORES DE BT'!$D$2:$BL$155,23,FALSE)="BANDEJA",1,IF(VLOOKUP(D22,'H2-CONDUCTORES DE BT'!$D$2:$BL$155,24,FALSE)&lt;&gt;3,IF(((VLOOKUP(D22,'H2-CONDUCTORES DE BT'!$D$2:$BL$155,24,FALSE))/3)=Z22,1),VLOOKUP(D22,'H2-CONDUCTORES DE BT'!$D$2:$BL$155,37,FALSE)))))</f>
        <v>2</v>
      </c>
      <c r="AC22" s="343" t="str">
        <f>IF(AE22="Multiconductor","N/A",(IF((VLOOKUP(D22,'H2-CONDUCTORES DE BT'!$D$2:$BL$155,40,FALSE))="Al",IF((VLOOKUP(D22,'H2-CONDUCTORES DE BT'!$D$2:$BL$155,51,FALSE))="No",LOOKUP((VLOOKUP(D22,'H2-CONDUCTORES DE BT'!$D$2:$BL$155,16,FALSE)),CONDUCTORES!$A$111:$A$131,CONDUCTORES!$C$111:$C$131),(VLOOKUP(D22,'H2-CONDUCTORES DE BT'!$D$2:$BL$155,51,FALSE))),IF((VLOOKUP(D22,'H2-CONDUCTORES DE BT'!$D$2:$BL$155,51,FALSE))="No",LOOKUP((VLOOKUP(D22,'H2-CONDUCTORES DE BT'!$D$2:$BL$155,16,FALSE)),CONDUCTORES!$A$111:$A$131,CONDUCTORES!$B$111:$B$131),(VLOOKUP(D22,'H2-CONDUCTORES DE BT'!$D$2:$BL$155,51,FALSE))))))</f>
        <v>4 AWG</v>
      </c>
      <c r="AD22" s="340">
        <f t="shared" si="10"/>
        <v>2</v>
      </c>
      <c r="AE22" s="464" t="str">
        <f>+VLOOKUP(D22,'H2-CONDUCTORES DE BT'!$D$2:$BL$155,38,FALSE)</f>
        <v>Monopolar</v>
      </c>
      <c r="AF22" s="531" t="str">
        <f>IF(AE22="Monopolar","N/A",VLOOKUP(D22,'H2-CONDUCTORES DE BT'!$D$2:$BL$192,39,FALSE))</f>
        <v>N/A</v>
      </c>
      <c r="AG22" s="437">
        <f>+VLOOKUP(D22,'H2-CONDUCTORES DE BT'!$D$2:$CL$492,70,FALSE)</f>
        <v>8</v>
      </c>
      <c r="AH22" s="434">
        <f>(VLOOKUP(AG22,CONDUCTORES!$A$9:$G$62,6,FALSE))*(Z22)</f>
        <v>282.60000000000002</v>
      </c>
      <c r="AI22" s="434">
        <f t="shared" si="11"/>
        <v>298.29293225116857</v>
      </c>
      <c r="AJ22" s="434" t="str">
        <f>+IF(U22=1,"N/A",IF((AI22/U22)&lt;CONDUCTORES!$F$9,CONDUCTORES!$F$9,IF((AI22/U22)&lt;CONDUCTORES!$F$10,CONDUCTORES!$F$10,IF((AI22/U22)&lt;CONDUCTORES!$F$11,CONDUCTORES!$F$11,IF((AI22/U22)&lt;CONDUCTORES!$F$12,CONDUCTORES!$F$12,IF((AI22/U22)&lt;CONDUCTORES!$F$13,CONDUCTORES!$F$13,IF((AI22/U22)&lt;CONDUCTORES!$F$14,CONDUCTORES!$F$14,IF((AI22/U22)&lt;CONDUCTORES!$F$15,CONDUCTORES!$F$15,IF((AI22/U22)&lt;CONDUCTORES!$F$16,CONDUCTORES!$F$16,IF((AI22/U22)&lt;CONDUCTORES!$F$17,CONDUCTORES!$F$17,IF((AI22/U22)&lt;CONDUCTORES!$F$18,CONDUCTORES!$F$18,IF((AI22/U22)&lt;CONDUCTORES!$F$19,CONDUCTORES!$F$19,IF((AI22/U22)&lt;CONDUCTORES!$F$20,CONDUCTORES!$F$20,IF((AI22/U22)&lt;CONDUCTORES!$F$21,CONDUCTORES!$F$21,IF((AI22/U22)&lt;CONDUCTORES!$F$22,CONDUCTORES!$F$22,CONDUCTORES!$F$23)))))))))))))))</f>
        <v>N/A</v>
      </c>
      <c r="AK22" s="434">
        <f>IF(AF22="2/C  -",IF(AI22&lt;CONDUCTORES!$F$33,CONDUCTORES!$F$33,IF(AI22&lt;CONDUCTORES!$F$36,CONDUCTORES!$F$36,IF(AI22&lt;CONDUCTORES!$F$39,CONDUCTORES!$F$39,IF(AI22&lt;CONDUCTORES!$F$42,CONDUCTORES!$F$42,IF(AI22&lt;CONDUCTORES!$F$45,CONDUCTORES!$F$45,IF(AI22&lt;CONDUCTORES!$F$48,CONDUCTORES!$F$48,IF(AI22&lt;CONDUCTORES!$F$51,CONDUCTORES!$F$51,IF(AI22&lt;CONDUCTORES!$F$54,CONDUCTORES!$F$54,IF(AI22&lt;CONDUCTORES!$F$57,CONDUCTORES!$F$57,CONDUCTORES!$F$60))))))))),0)</f>
        <v>0</v>
      </c>
      <c r="AL22" s="434">
        <f>IF(AF22="3/C  -",IF(AI22&lt;CONDUCTORES!$F$34,CONDUCTORES!$F$34,IF(AI22&lt;CONDUCTORES!$F$37,CONDUCTORES!$F$37,IF(AI22&lt;CONDUCTORES!$F$40,CONDUCTORES!$F$40,IF(AI22&lt;CONDUCTORES!$F$43,CONDUCTORES!$F$43,IF(AI22&lt;CONDUCTORES!$F$46,CONDUCTORES!$F$46,IF(AI22&lt;CONDUCTORES!$F$49,CONDUCTORES!$F$49,IF(AI22&lt;CONDUCTORES!$F$52,CONDUCTORES!$F$52,IF(AI22&lt;CONDUCTORES!$F$55,CONDUCTORES!$F$55,IF(AI22&lt;CONDUCTORES!$F$58,CONDUCTORES!$F$58,CONDUCTORES!$F$61))))))))),0)</f>
        <v>0</v>
      </c>
      <c r="AM22" s="434">
        <f>IF(AF22="4/C  -",IF(AI22&lt;CONDUCTORES!$F$35,CONDUCTORES!$F$35,IF(AI22&lt;CONDUCTORES!$F$38,CONDUCTORES!$F$38,IF(AI22&lt;CONDUCTORES!$F$41,CONDUCTORES!$F$41,IF(AI22&lt;CONDUCTORES!$F$44,CONDUCTORES!$F$44,IF(AI22&lt;CONDUCTORES!$F$47,CONDUCTORES!$F$47,IF(AI22&lt;CONDUCTORES!$F$50,CONDUCTORES!$F$50,IF(AI22&lt;CONDUCTORES!$F$53,CONDUCTORES!$F$53,IF(AI22&lt;CONDUCTORES!$F$56,CONDUCTORES!$F$56,IF(AI22&lt;CONDUCTORES!$F$59,CONDUCTORES!$F$59,CONDUCTORES!$F$62))))))))),0)</f>
        <v>0</v>
      </c>
      <c r="AN22" s="436">
        <f>IF(AE22="Multiconductor",IF(AF22="2/C  -",AK22,IF(AF22="3/C  -",AL22,IF(AF22="4/C  -",AM22,"NO SE CÁLCULO, REVISAR"))),IF(AI22&lt;CONDUCTORES!$F$9,CONDUCTORES!$F$9,IF(AI22&lt;CONDUCTORES!$F$10,CONDUCTORES!$F$10,IF(AI22&lt;CONDUCTORES!$F$11,CONDUCTORES!$F$11,IF(AI22&lt;CONDUCTORES!$F$12,CONDUCTORES!$F$12,IF(AI22&lt;CONDUCTORES!$F$13,CONDUCTORES!$F$13,IF(AI22&lt;CONDUCTORES!$F$14,CONDUCTORES!$F$14,IF(AI22&lt;CONDUCTORES!$F$15,CONDUCTORES!$F$15,IF(AI22&lt;CONDUCTORES!$F$16,CONDUCTORES!$F$16,IF(AI22&lt;CONDUCTORES!$F$17,CONDUCTORES!$F$17,IF(AI22&lt;CONDUCTORES!$F$18,CONDUCTORES!$F$18,IF(AI22&lt;CONDUCTORES!$F$19,CONDUCTORES!$F$19,IF(AI22&lt;CONDUCTORES!$F$20,CONDUCTORES!$F$20,IF(AI22&lt;CONDUCTORES!$F$21,CONDUCTORES!$F$21,IF(AI22&lt;CONDUCTORES!$F$22,CONDUCTORES!$F$22,CONDUCTORES!$F$23)))))))))))))))</f>
        <v>333.3</v>
      </c>
      <c r="AO22" s="1197" t="str">
        <f t="shared" si="12"/>
        <v>2 AWG</v>
      </c>
      <c r="AP22" s="1196" cm="1">
        <f t="array" ref="AP22">IF(AE22="Multiconductor",INDEX(CONDUCTORES!$A$24:$A$62,MATCH(1,(CONDUCTORES!$B$24:$B$62=AO22)*(CONDUCTORES!$C$24:$C$62=AF22),0)),VLOOKUP(AO22,CONDUCTORES!$B$9:$X$23,23,FALSE))</f>
        <v>6</v>
      </c>
      <c r="AQ22" s="1197" t="str">
        <f t="shared" si="13"/>
        <v>2/0 AWG</v>
      </c>
      <c r="AR22" s="437" cm="1">
        <f t="array" ref="AR22">IF(AE22="Multiconductor",INDEX(CONDUCTORES!$A$24:$A$62,MATCH(1,(CONDUCTORES!$B$24:$B$62=AQ22)*(CONDUCTORES!$C$24:$C$62=AF22),0)),VLOOKUP(AQ22,CONDUCTORES!$B$9:$X$23,23,FALSE))</f>
        <v>8</v>
      </c>
      <c r="AS22" s="438">
        <f t="shared" si="14"/>
        <v>192</v>
      </c>
      <c r="AT22" s="1195">
        <f t="shared" si="1"/>
        <v>26993.575512884076</v>
      </c>
      <c r="AU22" s="439">
        <f t="shared" si="2"/>
        <v>3.03E-8</v>
      </c>
      <c r="AV22" s="437">
        <f t="shared" si="15"/>
        <v>1.037379204495221</v>
      </c>
      <c r="AW22" s="440">
        <f>VLOOKUP(AG22,COSTOS!$A$7:$Z$94,7,FALSE)</f>
        <v>398.74734607218682</v>
      </c>
      <c r="AX22" s="437">
        <f>((2.5)/(18*LN((VLOOKUP(O22,CONDUCTORES!$B$9:$AF$23,24,FALSE))/(VLOOKUP(O22,CONDUCTORES!$B$9:$D$23,3,FALSE)))))*-0.000000001</f>
        <v>5.8926535293154483E-11</v>
      </c>
      <c r="AY22" s="437">
        <f t="shared" si="16"/>
        <v>5.1182854146240435E-6</v>
      </c>
      <c r="AZ22" s="437">
        <f>(0.12)*(5000)*(LN((VLOOKUP(O22,CONDUCTORES!$B$9:$AF$23,24,FALSE))/(VLOOKUP(O22,CONDUCTORES!$B$9:$D$23,3,FALSE))))</f>
        <v>-1414.1902780938522</v>
      </c>
      <c r="BA22" s="437">
        <f>+($AW$3)-(((K22^2)*(VLOOKUP(O22,CONDUCTORES!$B$9:$K$23,7,FALSE)))+(0.5*AY22))*(AZ22)</f>
        <v>17932681.942955174</v>
      </c>
      <c r="BB22" s="441">
        <f t="shared" si="17"/>
        <v>72269.627630109346</v>
      </c>
      <c r="BC22" s="437">
        <f>+SQRT(((8*PI()*60)/(VLOOKUP(O22,CONDUCTORES!$B$9:$K$23,9,FALSE)))*(0.0000001)*(1))</f>
        <v>1.6543396620032083E-2</v>
      </c>
      <c r="BD22" s="437">
        <f>+SQRT(((8*PI()*60)/(VLOOKUP(O22,CONDUCTORES!$B$9:$K$23,9,FALSE)))*(0.0000001)*(1))</f>
        <v>1.6543396620032083E-2</v>
      </c>
      <c r="BE22" s="442">
        <f>((BD22^4)/((192)+((0.8)*(BD22^4))))*(((VLOOKUP(O22,CONDUCTORES!$B$9:$K$23,9,FALSE))/(1))^2)*(2.9)</f>
        <v>3.4346223305071652E-10</v>
      </c>
      <c r="BF22" s="442">
        <f t="shared" si="18"/>
        <v>3.9011935602742492E-10</v>
      </c>
      <c r="BG22" s="437">
        <f t="shared" si="19"/>
        <v>3.7379203734218942E-2</v>
      </c>
      <c r="BH22" s="437">
        <v>0</v>
      </c>
      <c r="BI22" s="434">
        <f>(IF(AE22="Multiconductor",VLOOKUP(AP22,CONDUCTORES!$A$24:$G$62,6,FALSE),VLOOKUP(AO22,CONDUCTORES!$B$9:$F$23,5,FALSE)))*(U22)</f>
        <v>73.94</v>
      </c>
      <c r="BJ22" s="434">
        <f>(IF(AE22="Multiconductor",VLOOKUP(AR22,CONDUCTORES!$A$24:$G$62,6,FALSE),VLOOKUP(AQ22,CONDUCTORES!$B$9:$F$23,5,FALSE)))*(U22)</f>
        <v>141.30000000000001</v>
      </c>
      <c r="BK22" s="1194">
        <f t="shared" si="20"/>
        <v>4.8221577592997146E-4</v>
      </c>
      <c r="BL22" s="443">
        <f t="shared" si="21"/>
        <v>2.5233570044063758E-4</v>
      </c>
      <c r="BM22" s="443">
        <f t="shared" si="22"/>
        <v>1.2616785022031879E-4</v>
      </c>
      <c r="BN22" s="1192">
        <f t="shared" si="23"/>
        <v>7197729.893353085</v>
      </c>
      <c r="BO22" s="1198">
        <f t="shared" si="24"/>
        <v>3766455.4020844102</v>
      </c>
      <c r="BP22" s="444">
        <f t="shared" si="25"/>
        <v>1883227.7010422051</v>
      </c>
      <c r="BQ22" s="1193">
        <f>VLOOKUP(AP22,COSTOS!$A$7:$I$60,4,FALSE)</f>
        <v>22169.7952</v>
      </c>
      <c r="BR22" s="1193">
        <f>VLOOKUP(AP22,COSTOS!$A$7:$I$60,5,FALSE)</f>
        <v>17467</v>
      </c>
      <c r="BS22" s="1193">
        <f t="shared" si="26"/>
        <v>39636.7952</v>
      </c>
      <c r="BT22" s="1192">
        <f t="shared" si="27"/>
        <v>1783655.784</v>
      </c>
      <c r="BU22" s="444">
        <f>VLOOKUP(AR22,COSTOS!$A$7:$I$60,4,FALSE)</f>
        <v>45785.678400000004</v>
      </c>
      <c r="BV22" s="444">
        <f>VLOOKUP(AR22,COSTOS!$A$7:$I$60,5,FALSE)</f>
        <v>29908</v>
      </c>
      <c r="BW22" s="1198">
        <f t="shared" si="28"/>
        <v>75693.678400000004</v>
      </c>
      <c r="BX22" s="1198">
        <f t="shared" si="29"/>
        <v>6812431.0559999999</v>
      </c>
      <c r="BY22" s="444">
        <f>VLOOKUP(AG22,COSTOS!$A$7:$I$60,4,FALSE)</f>
        <v>45785.678400000004</v>
      </c>
      <c r="BZ22" s="444">
        <f>VLOOKUP(AG22,COSTOS!$A$7:$I$60,5,FALSE)</f>
        <v>29908</v>
      </c>
      <c r="CA22" s="444">
        <f t="shared" si="30"/>
        <v>75693.678400000004</v>
      </c>
      <c r="CB22" s="444">
        <f t="shared" si="31"/>
        <v>6812431.0559999999</v>
      </c>
      <c r="CC22" s="444">
        <f t="shared" si="32"/>
        <v>8981385.6773530841</v>
      </c>
      <c r="CD22" s="1198">
        <f t="shared" si="33"/>
        <v>10578886.45808441</v>
      </c>
      <c r="CE22" s="444">
        <f t="shared" si="34"/>
        <v>8695658.757042205</v>
      </c>
      <c r="CF22" s="445"/>
    </row>
    <row r="23" spans="2:84" s="408" customFormat="1" ht="26.4" customHeight="1" x14ac:dyDescent="0.25">
      <c r="B23" s="372">
        <v>5</v>
      </c>
      <c r="C23" s="852" t="str">
        <f>+_xlfn.CONCAT($C$18,".",SUBTOTAL(103,$X$19:X23))</f>
        <v>5.2.5</v>
      </c>
      <c r="D23" s="1040" t="str">
        <f>+'H2-CONDUCTORES DE BT'!D22</f>
        <v>VFD-DT-58</v>
      </c>
      <c r="E23" s="1088" t="str">
        <f>+VLOOKUP(D23,'H2-CONDUCTORES DE BT'!$D$2:$BL$155,2,FALSE)</f>
        <v>VARIADOR DE FRECUENCIA (PROYECTADO)</v>
      </c>
      <c r="F23" s="1160">
        <f>+VLOOKUP(D23,'H2-CONDUCTORES DE BT'!$D$2:$BL$155,6,FALSE)</f>
        <v>62.53</v>
      </c>
      <c r="G23" s="1093" t="str">
        <f>+VLOOKUP(D23,'H2-CONDUCTORES DE BT'!$D$2:$BL$155,7,FALSE)</f>
        <v>kVA</v>
      </c>
      <c r="H23" s="1161">
        <f>+VLOOKUP(D23,'H2-CONDUCTORES DE BT'!$D$2:$BL$155,8,FALSE)</f>
        <v>480</v>
      </c>
      <c r="I23" s="1093">
        <f>+VLOOKUP(D23,'H2-CONDUCTORES DE BT'!$D$2:$BL$155,9,FALSE)</f>
        <v>3</v>
      </c>
      <c r="J23" s="1162">
        <f>+VLOOKUP(D23,'H2-CONDUCTORES DE BT'!$D$2:$BL$155,10,FALSE)</f>
        <v>0.79600000000000004</v>
      </c>
      <c r="K23" s="1163">
        <f>+VLOOKUP(D23,'H2-CONDUCTORES DE BT'!$D$2:$BL$155,28,FALSE)</f>
        <v>135</v>
      </c>
      <c r="L23" s="1164">
        <f>+VLOOKUP(D23,'H2-CONDUCTORES DE BT'!$D$2:$BL$155,11,FALSE)</f>
        <v>0.94099999999999995</v>
      </c>
      <c r="M23" s="1063">
        <f>+VLOOKUP(D23,'H2-CONDUCTORES DE BT'!$D$2:$BL$155,4,FALSE)</f>
        <v>5</v>
      </c>
      <c r="N23" s="1165">
        <f t="shared" si="3"/>
        <v>1</v>
      </c>
      <c r="O23" s="1055" t="str">
        <f>IF(VLOOKUP(D23,'H2-CONDUCTORES DE BT'!$D$2:$BL$155,57,FALSE)="Al",VLOOKUP(D23,'H2-CONDUCTORES DE BT'!$D$2:$BL$155,55,FALSE),VLOOKUP(D23,'H2-CONDUCTORES DE BT'!$D$2:$BL$155,36,FALSE))</f>
        <v>1/0 AWG</v>
      </c>
      <c r="P23" s="1091" t="str">
        <f t="shared" si="4"/>
        <v>Al</v>
      </c>
      <c r="Q23" s="1166"/>
      <c r="R23" s="1155">
        <f t="shared" si="5"/>
        <v>1782398.8822203376</v>
      </c>
      <c r="S23" s="1155">
        <f t="shared" si="6"/>
        <v>1738956.3998967865</v>
      </c>
      <c r="T23" s="1155">
        <f t="shared" si="7"/>
        <v>1738956.3998967865</v>
      </c>
      <c r="U23" s="1159">
        <v>1</v>
      </c>
      <c r="V23" s="1158" t="s">
        <v>609</v>
      </c>
      <c r="W23" s="1156">
        <f t="shared" si="8"/>
        <v>1</v>
      </c>
      <c r="X23" s="1158" t="s">
        <v>598</v>
      </c>
      <c r="Y23" s="1168" t="str">
        <f t="shared" si="9"/>
        <v>OPCIÓN TÉCNICA</v>
      </c>
      <c r="Z23" s="499">
        <f>+VLOOKUP(D23,'H2-CONDUCTORES DE BT'!$D$2:$BL$155,37,FALSE)</f>
        <v>1</v>
      </c>
      <c r="AA23" s="343" t="str">
        <f>+VLOOKUP(D23,'H2-CONDUCTORES DE BT'!$D$2:$BL$155,55,FALSE)</f>
        <v>1/0 AWG</v>
      </c>
      <c r="AB23" s="343">
        <f>IF(AE23="Multiconductor","N/A",IF(VLOOKUP(D23,'H2-CONDUCTORES DE BT'!$D$2:$BL$155,50,FALSE)&lt;&gt;1,VLOOKUP(D23,'H2-CONDUCTORES DE BT'!$D$2:$BL$155,50,FALSE),IF(VLOOKUP(D23,'H2-CONDUCTORES DE BT'!$D$2:$BL$155,23,FALSE)="BANDEJA",1,IF(VLOOKUP(D23,'H2-CONDUCTORES DE BT'!$D$2:$BL$155,24,FALSE)&lt;&gt;3,IF(((VLOOKUP(D23,'H2-CONDUCTORES DE BT'!$D$2:$BL$155,24,FALSE))/3)=Z23,1),VLOOKUP(D23,'H2-CONDUCTORES DE BT'!$D$2:$BL$155,37,FALSE)))))</f>
        <v>1</v>
      </c>
      <c r="AC23" s="343" t="str">
        <f>IF(AE23="Multiconductor","N/A",(IF((VLOOKUP(D23,'H2-CONDUCTORES DE BT'!$D$2:$BL$155,40,FALSE))="Al",IF((VLOOKUP(D23,'H2-CONDUCTORES DE BT'!$D$2:$BL$155,51,FALSE))="No",LOOKUP((VLOOKUP(D23,'H2-CONDUCTORES DE BT'!$D$2:$BL$155,16,FALSE)),CONDUCTORES!$A$111:$A$131,CONDUCTORES!$C$111:$C$131),(VLOOKUP(D23,'H2-CONDUCTORES DE BT'!$D$2:$BL$155,51,FALSE))),IF((VLOOKUP(D23,'H2-CONDUCTORES DE BT'!$D$2:$BL$155,51,FALSE))="No",LOOKUP((VLOOKUP(D23,'H2-CONDUCTORES DE BT'!$D$2:$BL$155,16,FALSE)),CONDUCTORES!$A$111:$A$131,CONDUCTORES!$B$111:$B$131),(VLOOKUP(D23,'H2-CONDUCTORES DE BT'!$D$2:$BL$155,51,FALSE))))))</f>
        <v>4 AWG</v>
      </c>
      <c r="AD23" s="340">
        <f t="shared" si="10"/>
        <v>2</v>
      </c>
      <c r="AE23" s="464" t="str">
        <f>+VLOOKUP(D23,'H2-CONDUCTORES DE BT'!$D$2:$BL$155,38,FALSE)</f>
        <v>Monopolar</v>
      </c>
      <c r="AF23" s="531" t="str">
        <f>IF(AE23="Monopolar","N/A",VLOOKUP(D23,'H2-CONDUCTORES DE BT'!$D$2:$BL$192,39,FALSE))</f>
        <v>N/A</v>
      </c>
      <c r="AG23" s="437">
        <f>+VLOOKUP(D23,'H2-CONDUCTORES DE BT'!$D$2:$CL$492,70,FALSE)</f>
        <v>7</v>
      </c>
      <c r="AH23" s="434">
        <f>(VLOOKUP(AG23,CONDUCTORES!$A$9:$G$62,6,FALSE))*(Z23)</f>
        <v>117.7</v>
      </c>
      <c r="AI23" s="434">
        <f t="shared" si="11"/>
        <v>200.47492187112698</v>
      </c>
      <c r="AJ23" s="434" t="str">
        <f>+IF(U23=1,"N/A",IF((AI23/U23)&lt;CONDUCTORES!$F$9,CONDUCTORES!$F$9,IF((AI23/U23)&lt;CONDUCTORES!$F$10,CONDUCTORES!$F$10,IF((AI23/U23)&lt;CONDUCTORES!$F$11,CONDUCTORES!$F$11,IF((AI23/U23)&lt;CONDUCTORES!$F$12,CONDUCTORES!$F$12,IF((AI23/U23)&lt;CONDUCTORES!$F$13,CONDUCTORES!$F$13,IF((AI23/U23)&lt;CONDUCTORES!$F$14,CONDUCTORES!$F$14,IF((AI23/U23)&lt;CONDUCTORES!$F$15,CONDUCTORES!$F$15,IF((AI23/U23)&lt;CONDUCTORES!$F$16,CONDUCTORES!$F$16,IF((AI23/U23)&lt;CONDUCTORES!$F$17,CONDUCTORES!$F$17,IF((AI23/U23)&lt;CONDUCTORES!$F$18,CONDUCTORES!$F$18,IF((AI23/U23)&lt;CONDUCTORES!$F$19,CONDUCTORES!$F$19,IF((AI23/U23)&lt;CONDUCTORES!$F$20,CONDUCTORES!$F$20,IF((AI23/U23)&lt;CONDUCTORES!$F$21,CONDUCTORES!$F$21,IF((AI23/U23)&lt;CONDUCTORES!$F$22,CONDUCTORES!$F$22,CONDUCTORES!$F$23)))))))))))))))</f>
        <v>N/A</v>
      </c>
      <c r="AK23" s="434">
        <f>IF(AF23="2/C  -",IF(AI23&lt;CONDUCTORES!$F$33,CONDUCTORES!$F$33,IF(AI23&lt;CONDUCTORES!$F$36,CONDUCTORES!$F$36,IF(AI23&lt;CONDUCTORES!$F$39,CONDUCTORES!$F$39,IF(AI23&lt;CONDUCTORES!$F$42,CONDUCTORES!$F$42,IF(AI23&lt;CONDUCTORES!$F$45,CONDUCTORES!$F$45,IF(AI23&lt;CONDUCTORES!$F$48,CONDUCTORES!$F$48,IF(AI23&lt;CONDUCTORES!$F$51,CONDUCTORES!$F$51,IF(AI23&lt;CONDUCTORES!$F$54,CONDUCTORES!$F$54,IF(AI23&lt;CONDUCTORES!$F$57,CONDUCTORES!$F$57,CONDUCTORES!$F$60))))))))),0)</f>
        <v>0</v>
      </c>
      <c r="AL23" s="434">
        <f>IF(AF23="3/C  -",IF(AI23&lt;CONDUCTORES!$F$34,CONDUCTORES!$F$34,IF(AI23&lt;CONDUCTORES!$F$37,CONDUCTORES!$F$37,IF(AI23&lt;CONDUCTORES!$F$40,CONDUCTORES!$F$40,IF(AI23&lt;CONDUCTORES!$F$43,CONDUCTORES!$F$43,IF(AI23&lt;CONDUCTORES!$F$46,CONDUCTORES!$F$46,IF(AI23&lt;CONDUCTORES!$F$49,CONDUCTORES!$F$49,IF(AI23&lt;CONDUCTORES!$F$52,CONDUCTORES!$F$52,IF(AI23&lt;CONDUCTORES!$F$55,CONDUCTORES!$F$55,IF(AI23&lt;CONDUCTORES!$F$58,CONDUCTORES!$F$58,CONDUCTORES!$F$61))))))))),0)</f>
        <v>0</v>
      </c>
      <c r="AM23" s="434">
        <f>IF(AF23="4/C  -",IF(AI23&lt;CONDUCTORES!$F$35,CONDUCTORES!$F$35,IF(AI23&lt;CONDUCTORES!$F$38,CONDUCTORES!$F$38,IF(AI23&lt;CONDUCTORES!$F$41,CONDUCTORES!$F$41,IF(AI23&lt;CONDUCTORES!$F$44,CONDUCTORES!$F$44,IF(AI23&lt;CONDUCTORES!$F$47,CONDUCTORES!$F$47,IF(AI23&lt;CONDUCTORES!$F$50,CONDUCTORES!$F$50,IF(AI23&lt;CONDUCTORES!$F$53,CONDUCTORES!$F$53,IF(AI23&lt;CONDUCTORES!$F$56,CONDUCTORES!$F$56,IF(AI23&lt;CONDUCTORES!$F$59,CONDUCTORES!$F$59,CONDUCTORES!$F$62))))))))),0)</f>
        <v>0</v>
      </c>
      <c r="AN23" s="436">
        <f>IF(AE23="Multiconductor",IF(AF23="2/C  -",AK23,IF(AF23="3/C  -",AL23,IF(AF23="4/C  -",AM23,"NO SE CÁLCULO, REVISAR"))),IF(AI23&lt;CONDUCTORES!$F$9,CONDUCTORES!$F$9,IF(AI23&lt;CONDUCTORES!$F$10,CONDUCTORES!$F$10,IF(AI23&lt;CONDUCTORES!$F$11,CONDUCTORES!$F$11,IF(AI23&lt;CONDUCTORES!$F$12,CONDUCTORES!$F$12,IF(AI23&lt;CONDUCTORES!$F$13,CONDUCTORES!$F$13,IF(AI23&lt;CONDUCTORES!$F$14,CONDUCTORES!$F$14,IF(AI23&lt;CONDUCTORES!$F$15,CONDUCTORES!$F$15,IF(AI23&lt;CONDUCTORES!$F$16,CONDUCTORES!$F$16,IF(AI23&lt;CONDUCTORES!$F$17,CONDUCTORES!$F$17,IF(AI23&lt;CONDUCTORES!$F$18,CONDUCTORES!$F$18,IF(AI23&lt;CONDUCTORES!$F$19,CONDUCTORES!$F$19,IF(AI23&lt;CONDUCTORES!$F$20,CONDUCTORES!$F$20,IF(AI23&lt;CONDUCTORES!$F$21,CONDUCTORES!$F$21,IF(AI23&lt;CONDUCTORES!$F$22,CONDUCTORES!$F$22,CONDUCTORES!$F$23)))))))))))))))</f>
        <v>206.3</v>
      </c>
      <c r="AO23" s="1197" t="str">
        <f t="shared" si="12"/>
        <v>2 AWG</v>
      </c>
      <c r="AP23" s="1196" cm="1">
        <f t="array" ref="AP23">IF(AE23="Multiconductor",INDEX(CONDUCTORES!$A$24:$A$62,MATCH(1,(CONDUCTORES!$B$24:$B$62=AO23)*(CONDUCTORES!$C$24:$C$62=AF23),0)),VLOOKUP(AO23,CONDUCTORES!$B$9:$X$23,23,FALSE))</f>
        <v>6</v>
      </c>
      <c r="AQ23" s="1197" t="str">
        <f t="shared" si="13"/>
        <v>1/0 AWG</v>
      </c>
      <c r="AR23" s="437" cm="1">
        <f t="array" ref="AR23">IF(AE23="Multiconductor",INDEX(CONDUCTORES!$A$24:$A$62,MATCH(1,(CONDUCTORES!$B$24:$B$62=AQ23)*(CONDUCTORES!$C$24:$C$62=AF23),0)),VLOOKUP(AQ23,CONDUCTORES!$B$9:$X$23,23,FALSE))</f>
        <v>7</v>
      </c>
      <c r="AS23" s="438">
        <f t="shared" si="14"/>
        <v>135</v>
      </c>
      <c r="AT23" s="1195">
        <f t="shared" si="1"/>
        <v>26993.575512884076</v>
      </c>
      <c r="AU23" s="439">
        <f t="shared" si="2"/>
        <v>3.03E-8</v>
      </c>
      <c r="AV23" s="437">
        <f t="shared" si="15"/>
        <v>1.0388639032210107</v>
      </c>
      <c r="AW23" s="440">
        <f>VLOOKUP(AG23,COSTOS!$A$7:$Z$94,7,FALSE)</f>
        <v>437.06881903143585</v>
      </c>
      <c r="AX23" s="437">
        <f>((2.5)/(18*LN((VLOOKUP(O23,CONDUCTORES!$B$9:$AF$23,24,FALSE))/(VLOOKUP(O23,CONDUCTORES!$B$9:$D$23,3,FALSE)))))*-0.000000001</f>
        <v>6.1300858987958999E-11</v>
      </c>
      <c r="AY23" s="437">
        <f t="shared" si="16"/>
        <v>5.3245162116029715E-6</v>
      </c>
      <c r="AZ23" s="437">
        <f>(0.12)*(5000)*(LN((VLOOKUP(O23,CONDUCTORES!$B$9:$AF$23,24,FALSE))/(VLOOKUP(O23,CONDUCTORES!$B$9:$D$23,3,FALSE))))</f>
        <v>-1359.4154259682082</v>
      </c>
      <c r="BA23" s="437">
        <f>+($AW$3)-(((K23^2)*(VLOOKUP(O23,CONDUCTORES!$B$9:$K$23,7,FALSE)))+(0.5*AY23))*(AZ23)</f>
        <v>10226748.136953684</v>
      </c>
      <c r="BB23" s="441">
        <f t="shared" si="17"/>
        <v>41214.714391923342</v>
      </c>
      <c r="BC23" s="437">
        <f>+SQRT(((8*PI()*60)/(VLOOKUP(O23,CONDUCTORES!$B$9:$K$23,9,FALSE)))*(0.0000001)*(1))</f>
        <v>1.4799683024221634E-2</v>
      </c>
      <c r="BD23" s="437">
        <f>+SQRT(((8*PI()*60)/(VLOOKUP(O23,CONDUCTORES!$B$9:$K$23,9,FALSE)))*(0.0000001)*(1))</f>
        <v>1.4799683024221634E-2</v>
      </c>
      <c r="BE23" s="442">
        <f>((BD23^4)/((192)+((0.8)*(BD23^4))))*(((VLOOKUP(O23,CONDUCTORES!$B$9:$K$23,9,FALSE))/(1))^2)*(2.9)</f>
        <v>3.4346223308925378E-10</v>
      </c>
      <c r="BF23" s="442">
        <f t="shared" si="18"/>
        <v>2.4986672627231682E-10</v>
      </c>
      <c r="BG23" s="437">
        <f t="shared" si="19"/>
        <v>3.8863902604622698E-2</v>
      </c>
      <c r="BH23" s="437">
        <v>0</v>
      </c>
      <c r="BI23" s="434">
        <f>(IF(AE23="Multiconductor",VLOOKUP(AP23,CONDUCTORES!$A$24:$G$62,6,FALSE),VLOOKUP(AO23,CONDUCTORES!$B$9:$F$23,5,FALSE)))*(U23)</f>
        <v>73.94</v>
      </c>
      <c r="BJ23" s="434">
        <f>(IF(AE23="Multiconductor",VLOOKUP(AR23,CONDUCTORES!$A$24:$G$62,6,FALSE),VLOOKUP(AQ23,CONDUCTORES!$B$9:$F$23,5,FALSE)))*(U23)</f>
        <v>117.7</v>
      </c>
      <c r="BK23" s="1194">
        <f t="shared" si="20"/>
        <v>4.8290592389609282E-4</v>
      </c>
      <c r="BL23" s="443">
        <f t="shared" si="21"/>
        <v>3.0336502984602462E-4</v>
      </c>
      <c r="BM23" s="443">
        <f t="shared" si="22"/>
        <v>3.0336502984602462E-4</v>
      </c>
      <c r="BN23" s="1192">
        <f t="shared" si="23"/>
        <v>1187846.9542203376</v>
      </c>
      <c r="BO23" s="1198">
        <f t="shared" si="24"/>
        <v>746214.13589678635</v>
      </c>
      <c r="BP23" s="444">
        <f t="shared" si="25"/>
        <v>746214.13589678635</v>
      </c>
      <c r="BQ23" s="1193">
        <f>VLOOKUP(AP23,COSTOS!$A$7:$I$60,4,FALSE)</f>
        <v>22169.7952</v>
      </c>
      <c r="BR23" s="1193">
        <f>VLOOKUP(AP23,COSTOS!$A$7:$I$60,5,FALSE)</f>
        <v>17467</v>
      </c>
      <c r="BS23" s="1193">
        <f t="shared" si="26"/>
        <v>39636.7952</v>
      </c>
      <c r="BT23" s="1192">
        <f t="shared" si="27"/>
        <v>594551.92799999996</v>
      </c>
      <c r="BU23" s="444">
        <f>VLOOKUP(AR23,COSTOS!$A$7:$I$60,4,FALSE)</f>
        <v>36274.817600000002</v>
      </c>
      <c r="BV23" s="444">
        <f>VLOOKUP(AR23,COSTOS!$A$7:$I$60,5,FALSE)</f>
        <v>29908</v>
      </c>
      <c r="BW23" s="1198">
        <f t="shared" si="28"/>
        <v>66182.817600000009</v>
      </c>
      <c r="BX23" s="1198">
        <f t="shared" si="29"/>
        <v>992742.2640000002</v>
      </c>
      <c r="BY23" s="444">
        <f>VLOOKUP(AG23,COSTOS!$A$7:$I$60,4,FALSE)</f>
        <v>36274.817600000002</v>
      </c>
      <c r="BZ23" s="444">
        <f>VLOOKUP(AG23,COSTOS!$A$7:$I$60,5,FALSE)</f>
        <v>29908</v>
      </c>
      <c r="CA23" s="444">
        <f t="shared" si="30"/>
        <v>66182.817600000009</v>
      </c>
      <c r="CB23" s="444">
        <f t="shared" si="31"/>
        <v>992742.2640000002</v>
      </c>
      <c r="CC23" s="444">
        <f t="shared" si="32"/>
        <v>1782398.8822203376</v>
      </c>
      <c r="CD23" s="1198">
        <f t="shared" si="33"/>
        <v>1738956.3998967865</v>
      </c>
      <c r="CE23" s="444">
        <f t="shared" si="34"/>
        <v>1738956.3998967865</v>
      </c>
      <c r="CF23" s="445"/>
    </row>
    <row r="24" spans="2:84" s="371" customFormat="1" ht="30.6" customHeight="1" x14ac:dyDescent="0.25">
      <c r="B24" s="372">
        <v>6</v>
      </c>
      <c r="C24" s="852" t="str">
        <f>+_xlfn.CONCAT($C$18,".",SUBTOTAL(103,$X$19:X24))</f>
        <v>5.2.6</v>
      </c>
      <c r="D24" s="1040" t="str">
        <f>+'H2-CONDUCTORES DE BT'!D23</f>
        <v>PCP-DT-58</v>
      </c>
      <c r="E24" s="1088" t="str">
        <f>+VLOOKUP(D24,'H2-CONDUCTORES DE BT'!$D$2:$BL$155,2,FALSE)</f>
        <v>MOTOR PCP (PROYECTADO)</v>
      </c>
      <c r="F24" s="1160">
        <f>+VLOOKUP(D24,'H2-CONDUCTORES DE BT'!$D$2:$BL$155,6,FALSE)</f>
        <v>62.53</v>
      </c>
      <c r="G24" s="1093" t="str">
        <f>+VLOOKUP(D24,'H2-CONDUCTORES DE BT'!$D$2:$BL$155,7,FALSE)</f>
        <v>kVA</v>
      </c>
      <c r="H24" s="1161">
        <f>+VLOOKUP(D24,'H2-CONDUCTORES DE BT'!$D$2:$BL$155,8,FALSE)</f>
        <v>480</v>
      </c>
      <c r="I24" s="1093">
        <f>+VLOOKUP(D24,'H2-CONDUCTORES DE BT'!$D$2:$BL$155,9,FALSE)</f>
        <v>3</v>
      </c>
      <c r="J24" s="1162">
        <f>+VLOOKUP(D24,'H2-CONDUCTORES DE BT'!$D$2:$BL$155,10,FALSE)</f>
        <v>0.79600000000000004</v>
      </c>
      <c r="K24" s="1163">
        <f>+VLOOKUP(D24,'H2-CONDUCTORES DE BT'!$D$2:$BL$155,28,FALSE)</f>
        <v>135</v>
      </c>
      <c r="L24" s="1164">
        <f>+VLOOKUP(D24,'H2-CONDUCTORES DE BT'!$D$2:$BL$155,11,FALSE)</f>
        <v>0.94099999999999995</v>
      </c>
      <c r="M24" s="1063">
        <f>+VLOOKUP(D24,'H2-CONDUCTORES DE BT'!$D$2:$BL$155,4,FALSE)</f>
        <v>54</v>
      </c>
      <c r="N24" s="1165">
        <f t="shared" si="3"/>
        <v>1</v>
      </c>
      <c r="O24" s="1055" t="str">
        <f>IF(VLOOKUP(D24,'H2-CONDUCTORES DE BT'!$D$2:$BL$155,57,FALSE)="Al",VLOOKUP(D24,'H2-CONDUCTORES DE BT'!$D$2:$BL$155,55,FALSE),VLOOKUP(D24,'H2-CONDUCTORES DE BT'!$D$2:$BL$155,36,FALSE))</f>
        <v>1/0 AWG</v>
      </c>
      <c r="P24" s="1091" t="str">
        <f t="shared" si="4"/>
        <v>Al</v>
      </c>
      <c r="Q24" s="1107"/>
      <c r="R24" s="1155">
        <f t="shared" si="5"/>
        <v>18780729.118885294</v>
      </c>
      <c r="S24" s="1155">
        <f t="shared" si="6"/>
        <v>18780729.118885294</v>
      </c>
      <c r="T24" s="1155">
        <f t="shared" si="7"/>
        <v>18780729.118885294</v>
      </c>
      <c r="U24" s="1159">
        <v>1</v>
      </c>
      <c r="V24" s="1158" t="s">
        <v>598</v>
      </c>
      <c r="W24" s="1156">
        <f t="shared" si="8"/>
        <v>1</v>
      </c>
      <c r="X24" s="1158" t="s">
        <v>598</v>
      </c>
      <c r="Y24" s="1168" t="str">
        <f t="shared" si="9"/>
        <v>OPCIÓN TÉCNICA</v>
      </c>
      <c r="Z24" s="499">
        <f>+VLOOKUP(D24,'H2-CONDUCTORES DE BT'!$D$2:$BL$155,37,FALSE)</f>
        <v>1</v>
      </c>
      <c r="AA24" s="343" t="str">
        <f>+VLOOKUP(D24,'H2-CONDUCTORES DE BT'!$D$2:$BL$155,55,FALSE)</f>
        <v>1/0 AWG</v>
      </c>
      <c r="AB24" s="343">
        <f>IF(AE24="Multiconductor","N/A",IF(VLOOKUP(D24,'H2-CONDUCTORES DE BT'!$D$2:$BL$155,50,FALSE)&lt;&gt;1,VLOOKUP(D24,'H2-CONDUCTORES DE BT'!$D$2:$BL$155,50,FALSE),IF(VLOOKUP(D24,'H2-CONDUCTORES DE BT'!$D$2:$BL$155,23,FALSE)="BANDEJA",1,IF(VLOOKUP(D24,'H2-CONDUCTORES DE BT'!$D$2:$BL$155,24,FALSE)&lt;&gt;3,IF(((VLOOKUP(D24,'H2-CONDUCTORES DE BT'!$D$2:$BL$155,24,FALSE))/3)=Z24,1),VLOOKUP(D24,'H2-CONDUCTORES DE BT'!$D$2:$BL$155,37,FALSE)))))</f>
        <v>1</v>
      </c>
      <c r="AC24" s="343" t="str">
        <f>IF(AE24="Multiconductor","N/A",(IF((VLOOKUP(D24,'H2-CONDUCTORES DE BT'!$D$2:$BL$155,40,FALSE))="Al",IF((VLOOKUP(D24,'H2-CONDUCTORES DE BT'!$D$2:$BL$155,51,FALSE))="No",LOOKUP((VLOOKUP(D24,'H2-CONDUCTORES DE BT'!$D$2:$BL$155,16,FALSE)),CONDUCTORES!$A$111:$A$131,CONDUCTORES!$C$111:$C$131),(VLOOKUP(D24,'H2-CONDUCTORES DE BT'!$D$2:$BL$155,51,FALSE))),IF((VLOOKUP(D24,'H2-CONDUCTORES DE BT'!$D$2:$BL$155,51,FALSE))="No",LOOKUP((VLOOKUP(D24,'H2-CONDUCTORES DE BT'!$D$2:$BL$155,16,FALSE)),CONDUCTORES!$A$111:$A$131,CONDUCTORES!$B$111:$B$131),(VLOOKUP(D24,'H2-CONDUCTORES DE BT'!$D$2:$BL$155,51,FALSE))))))</f>
        <v>4 AWG</v>
      </c>
      <c r="AD24" s="340">
        <f t="shared" si="10"/>
        <v>2</v>
      </c>
      <c r="AE24" s="464" t="str">
        <f>+VLOOKUP(D24,'H2-CONDUCTORES DE BT'!$D$2:$BL$155,38,FALSE)</f>
        <v>Monopolar</v>
      </c>
      <c r="AF24" s="531" t="str">
        <f>IF(AE24="Monopolar","N/A",VLOOKUP(D24,'H2-CONDUCTORES DE BT'!$D$2:$BL$192,39,FALSE))</f>
        <v>N/A</v>
      </c>
      <c r="AG24" s="437">
        <f>+VLOOKUP(D24,'H2-CONDUCTORES DE BT'!$D$2:$CL$492,70,FALSE)</f>
        <v>7</v>
      </c>
      <c r="AH24" s="434">
        <f>(VLOOKUP(AG24,CONDUCTORES!$A$9:$G$62,6,FALSE))*(Z24)</f>
        <v>117.7</v>
      </c>
      <c r="AI24" s="434">
        <f t="shared" si="11"/>
        <v>200.47492187112698</v>
      </c>
      <c r="AJ24" s="434" t="str">
        <f>+IF(U24=1,"N/A",IF((AI24/U24)&lt;CONDUCTORES!$F$9,CONDUCTORES!$F$9,IF((AI24/U24)&lt;CONDUCTORES!$F$10,CONDUCTORES!$F$10,IF((AI24/U24)&lt;CONDUCTORES!$F$11,CONDUCTORES!$F$11,IF((AI24/U24)&lt;CONDUCTORES!$F$12,CONDUCTORES!$F$12,IF((AI24/U24)&lt;CONDUCTORES!$F$13,CONDUCTORES!$F$13,IF((AI24/U24)&lt;CONDUCTORES!$F$14,CONDUCTORES!$F$14,IF((AI24/U24)&lt;CONDUCTORES!$F$15,CONDUCTORES!$F$15,IF((AI24/U24)&lt;CONDUCTORES!$F$16,CONDUCTORES!$F$16,IF((AI24/U24)&lt;CONDUCTORES!$F$17,CONDUCTORES!$F$17,IF((AI24/U24)&lt;CONDUCTORES!$F$18,CONDUCTORES!$F$18,IF((AI24/U24)&lt;CONDUCTORES!$F$19,CONDUCTORES!$F$19,IF((AI24/U24)&lt;CONDUCTORES!$F$20,CONDUCTORES!$F$20,IF((AI24/U24)&lt;CONDUCTORES!$F$21,CONDUCTORES!$F$21,IF((AI24/U24)&lt;CONDUCTORES!$F$22,CONDUCTORES!$F$22,CONDUCTORES!$F$23)))))))))))))))</f>
        <v>N/A</v>
      </c>
      <c r="AK24" s="434">
        <f>IF(AF24="2/C  -",IF(AI24&lt;CONDUCTORES!$F$33,CONDUCTORES!$F$33,IF(AI24&lt;CONDUCTORES!$F$36,CONDUCTORES!$F$36,IF(AI24&lt;CONDUCTORES!$F$39,CONDUCTORES!$F$39,IF(AI24&lt;CONDUCTORES!$F$42,CONDUCTORES!$F$42,IF(AI24&lt;CONDUCTORES!$F$45,CONDUCTORES!$F$45,IF(AI24&lt;CONDUCTORES!$F$48,CONDUCTORES!$F$48,IF(AI24&lt;CONDUCTORES!$F$51,CONDUCTORES!$F$51,IF(AI24&lt;CONDUCTORES!$F$54,CONDUCTORES!$F$54,IF(AI24&lt;CONDUCTORES!$F$57,CONDUCTORES!$F$57,CONDUCTORES!$F$60))))))))),0)</f>
        <v>0</v>
      </c>
      <c r="AL24" s="434">
        <f>IF(AF24="3/C  -",IF(AI24&lt;CONDUCTORES!$F$34,CONDUCTORES!$F$34,IF(AI24&lt;CONDUCTORES!$F$37,CONDUCTORES!$F$37,IF(AI24&lt;CONDUCTORES!$F$40,CONDUCTORES!$F$40,IF(AI24&lt;CONDUCTORES!$F$43,CONDUCTORES!$F$43,IF(AI24&lt;CONDUCTORES!$F$46,CONDUCTORES!$F$46,IF(AI24&lt;CONDUCTORES!$F$49,CONDUCTORES!$F$49,IF(AI24&lt;CONDUCTORES!$F$52,CONDUCTORES!$F$52,IF(AI24&lt;CONDUCTORES!$F$55,CONDUCTORES!$F$55,IF(AI24&lt;CONDUCTORES!$F$58,CONDUCTORES!$F$58,CONDUCTORES!$F$61))))))))),0)</f>
        <v>0</v>
      </c>
      <c r="AM24" s="434">
        <f>IF(AF24="4/C  -",IF(AI24&lt;CONDUCTORES!$F$35,CONDUCTORES!$F$35,IF(AI24&lt;CONDUCTORES!$F$38,CONDUCTORES!$F$38,IF(AI24&lt;CONDUCTORES!$F$41,CONDUCTORES!$F$41,IF(AI24&lt;CONDUCTORES!$F$44,CONDUCTORES!$F$44,IF(AI24&lt;CONDUCTORES!$F$47,CONDUCTORES!$F$47,IF(AI24&lt;CONDUCTORES!$F$50,CONDUCTORES!$F$50,IF(AI24&lt;CONDUCTORES!$F$53,CONDUCTORES!$F$53,IF(AI24&lt;CONDUCTORES!$F$56,CONDUCTORES!$F$56,IF(AI24&lt;CONDUCTORES!$F$59,CONDUCTORES!$F$59,CONDUCTORES!$F$62))))))))),0)</f>
        <v>0</v>
      </c>
      <c r="AN24" s="436">
        <f>IF(AE24="Multiconductor",IF(AF24="2/C  -",AK24,IF(AF24="3/C  -",AL24,IF(AF24="4/C  -",AM24,"NO SE CÁLCULO, REVISAR"))),IF(AI24&lt;CONDUCTORES!$F$9,CONDUCTORES!$F$9,IF(AI24&lt;CONDUCTORES!$F$10,CONDUCTORES!$F$10,IF(AI24&lt;CONDUCTORES!$F$11,CONDUCTORES!$F$11,IF(AI24&lt;CONDUCTORES!$F$12,CONDUCTORES!$F$12,IF(AI24&lt;CONDUCTORES!$F$13,CONDUCTORES!$F$13,IF(AI24&lt;CONDUCTORES!$F$14,CONDUCTORES!$F$14,IF(AI24&lt;CONDUCTORES!$F$15,CONDUCTORES!$F$15,IF(AI24&lt;CONDUCTORES!$F$16,CONDUCTORES!$F$16,IF(AI24&lt;CONDUCTORES!$F$17,CONDUCTORES!$F$17,IF(AI24&lt;CONDUCTORES!$F$18,CONDUCTORES!$F$18,IF(AI24&lt;CONDUCTORES!$F$19,CONDUCTORES!$F$19,IF(AI24&lt;CONDUCTORES!$F$20,CONDUCTORES!$F$20,IF(AI24&lt;CONDUCTORES!$F$21,CONDUCTORES!$F$21,IF(AI24&lt;CONDUCTORES!$F$22,CONDUCTORES!$F$22,CONDUCTORES!$F$23)))))))))))))))</f>
        <v>206.3</v>
      </c>
      <c r="AO24" s="1197" t="str">
        <f t="shared" si="12"/>
        <v>1/0 AWG</v>
      </c>
      <c r="AP24" s="1196" cm="1">
        <f t="array" ref="AP24">IF(AE24="Multiconductor",INDEX(CONDUCTORES!$A$24:$A$62,MATCH(1,(CONDUCTORES!$B$24:$B$62=AO24)*(CONDUCTORES!$C$24:$C$62=AF24),0)),VLOOKUP(AO24,CONDUCTORES!$B$9:$X$23,23,FALSE))</f>
        <v>7</v>
      </c>
      <c r="AQ24" s="1197" t="str">
        <f t="shared" si="13"/>
        <v>1/0 AWG</v>
      </c>
      <c r="AR24" s="437" cm="1">
        <f t="array" ref="AR24">IF(AE24="Multiconductor",INDEX(CONDUCTORES!$A$24:$A$62,MATCH(1,(CONDUCTORES!$B$24:$B$62=AQ24)*(CONDUCTORES!$C$24:$C$62=AF24),0)),VLOOKUP(AQ24,CONDUCTORES!$B$9:$X$23,23,FALSE))</f>
        <v>7</v>
      </c>
      <c r="AS24" s="438">
        <f t="shared" si="14"/>
        <v>135</v>
      </c>
      <c r="AT24" s="1195">
        <f t="shared" si="1"/>
        <v>26993.575512884076</v>
      </c>
      <c r="AU24" s="439">
        <f t="shared" si="2"/>
        <v>3.03E-8</v>
      </c>
      <c r="AV24" s="437">
        <f t="shared" si="15"/>
        <v>1.0388639032210107</v>
      </c>
      <c r="AW24" s="440">
        <f>VLOOKUP(AG24,COSTOS!$A$7:$Z$94,7,FALSE)</f>
        <v>437.06881903143585</v>
      </c>
      <c r="AX24" s="437">
        <f>((2.5)/(18*LN((VLOOKUP(O24,CONDUCTORES!$B$9:$AF$23,24,FALSE))/(VLOOKUP(O24,CONDUCTORES!$B$9:$D$23,3,FALSE)))))*-0.000000001</f>
        <v>6.1300858987958999E-11</v>
      </c>
      <c r="AY24" s="437">
        <f t="shared" si="16"/>
        <v>5.3245162116029715E-6</v>
      </c>
      <c r="AZ24" s="437">
        <f>(0.12)*(5000)*(LN((VLOOKUP(O24,CONDUCTORES!$B$9:$AF$23,24,FALSE))/(VLOOKUP(O24,CONDUCTORES!$B$9:$D$23,3,FALSE))))</f>
        <v>-1359.4154259682082</v>
      </c>
      <c r="BA24" s="437">
        <f>+($AW$3)-(((K24^2)*(VLOOKUP(O24,CONDUCTORES!$B$9:$K$23,7,FALSE)))+(0.5*AY24))*(AZ24)</f>
        <v>10226748.136953684</v>
      </c>
      <c r="BB24" s="441">
        <f t="shared" si="17"/>
        <v>41214.714391923342</v>
      </c>
      <c r="BC24" s="437">
        <f>+SQRT(((8*PI()*60)/(VLOOKUP(O24,CONDUCTORES!$B$9:$K$23,9,FALSE)))*(0.0000001)*(1))</f>
        <v>1.4799683024221634E-2</v>
      </c>
      <c r="BD24" s="437">
        <f>+SQRT(((8*PI()*60)/(VLOOKUP(O24,CONDUCTORES!$B$9:$K$23,9,FALSE)))*(0.0000001)*(1))</f>
        <v>1.4799683024221634E-2</v>
      </c>
      <c r="BE24" s="442">
        <f>((BD24^4)/((192)+((0.8)*(BD24^4))))*(((VLOOKUP(O24,CONDUCTORES!$B$9:$K$23,9,FALSE))/(1))^2)*(2.9)</f>
        <v>3.4346223308925378E-10</v>
      </c>
      <c r="BF24" s="442">
        <f t="shared" si="18"/>
        <v>2.4986672627231682E-10</v>
      </c>
      <c r="BG24" s="437">
        <f t="shared" si="19"/>
        <v>3.8863902604622698E-2</v>
      </c>
      <c r="BH24" s="437">
        <v>0</v>
      </c>
      <c r="BI24" s="434">
        <f>(IF(AE24="Multiconductor",VLOOKUP(AP24,CONDUCTORES!$A$24:$G$62,6,FALSE),VLOOKUP(AO24,CONDUCTORES!$B$9:$F$23,5,FALSE)))*(U24)</f>
        <v>117.7</v>
      </c>
      <c r="BJ24" s="434">
        <f>(IF(AE24="Multiconductor",VLOOKUP(AR24,CONDUCTORES!$A$24:$G$62,6,FALSE),VLOOKUP(AQ24,CONDUCTORES!$B$9:$F$23,5,FALSE)))*(U24)</f>
        <v>117.7</v>
      </c>
      <c r="BK24" s="1194">
        <f t="shared" si="20"/>
        <v>3.0336502984602462E-4</v>
      </c>
      <c r="BL24" s="443">
        <f t="shared" si="21"/>
        <v>3.0336502984602462E-4</v>
      </c>
      <c r="BM24" s="443">
        <f t="shared" si="22"/>
        <v>3.0336502984602462E-4</v>
      </c>
      <c r="BN24" s="1192">
        <f t="shared" si="23"/>
        <v>8059112.6676852936</v>
      </c>
      <c r="BO24" s="1198">
        <f t="shared" si="24"/>
        <v>8059112.6676852936</v>
      </c>
      <c r="BP24" s="444">
        <f t="shared" si="25"/>
        <v>8059112.6676852936</v>
      </c>
      <c r="BQ24" s="1193">
        <f>VLOOKUP(AP24,COSTOS!$A$7:$I$60,4,FALSE)</f>
        <v>36274.817600000002</v>
      </c>
      <c r="BR24" s="1193">
        <f>VLOOKUP(AP24,COSTOS!$A$7:$I$60,5,FALSE)</f>
        <v>29908</v>
      </c>
      <c r="BS24" s="1193">
        <f t="shared" si="26"/>
        <v>66182.817600000009</v>
      </c>
      <c r="BT24" s="1192">
        <f t="shared" si="27"/>
        <v>10721616.451200001</v>
      </c>
      <c r="BU24" s="444">
        <f>VLOOKUP(AR24,COSTOS!$A$7:$I$60,4,FALSE)</f>
        <v>36274.817600000002</v>
      </c>
      <c r="BV24" s="444">
        <f>VLOOKUP(AR24,COSTOS!$A$7:$I$60,5,FALSE)</f>
        <v>29908</v>
      </c>
      <c r="BW24" s="1198">
        <f t="shared" si="28"/>
        <v>66182.817600000009</v>
      </c>
      <c r="BX24" s="1198">
        <f t="shared" si="29"/>
        <v>10721616.451200001</v>
      </c>
      <c r="BY24" s="444">
        <f>VLOOKUP(AG24,COSTOS!$A$7:$I$60,4,FALSE)</f>
        <v>36274.817600000002</v>
      </c>
      <c r="BZ24" s="444">
        <f>VLOOKUP(AG24,COSTOS!$A$7:$I$60,5,FALSE)</f>
        <v>29908</v>
      </c>
      <c r="CA24" s="444">
        <f t="shared" si="30"/>
        <v>66182.817600000009</v>
      </c>
      <c r="CB24" s="444">
        <f t="shared" si="31"/>
        <v>10721616.451200001</v>
      </c>
      <c r="CC24" s="444">
        <f t="shared" si="32"/>
        <v>18780729.118885294</v>
      </c>
      <c r="CD24" s="1198">
        <f t="shared" si="33"/>
        <v>18780729.118885294</v>
      </c>
      <c r="CE24" s="444">
        <f t="shared" si="34"/>
        <v>18780729.118885294</v>
      </c>
      <c r="CF24" s="445"/>
    </row>
    <row r="25" spans="2:84" s="408" customFormat="1" ht="27" customHeight="1" x14ac:dyDescent="0.25">
      <c r="B25" s="372">
        <v>7</v>
      </c>
      <c r="C25" s="852" t="str">
        <f>+_xlfn.CONCAT($C$18,".",SUBTOTAL(103,$X$19:X25))</f>
        <v>5.2.7</v>
      </c>
      <c r="D25" s="1040" t="str">
        <f>+'H2-CONDUCTORES DE BT'!D24</f>
        <v>MR-DT-58</v>
      </c>
      <c r="E25" s="1088" t="str">
        <f>+VLOOKUP(D25,'H2-CONDUCTORES DE BT'!$D$2:$BL$155,2,FALSE)</f>
        <v>MOTOR ROTADOR (PROYECTADO)</v>
      </c>
      <c r="F25" s="1160">
        <f>+VLOOKUP(D25,'H2-CONDUCTORES DE BT'!$D$2:$BL$155,6,FALSE)</f>
        <v>1</v>
      </c>
      <c r="G25" s="1093" t="str">
        <f>+VLOOKUP(D25,'H2-CONDUCTORES DE BT'!$D$2:$BL$155,7,FALSE)</f>
        <v>kVA</v>
      </c>
      <c r="H25" s="1161">
        <f>+VLOOKUP(D25,'H2-CONDUCTORES DE BT'!$D$2:$BL$155,8,FALSE)</f>
        <v>480</v>
      </c>
      <c r="I25" s="1093">
        <f>+VLOOKUP(D25,'H2-CONDUCTORES DE BT'!$D$2:$BL$155,9,FALSE)</f>
        <v>3</v>
      </c>
      <c r="J25" s="1162">
        <f>+VLOOKUP(D25,'H2-CONDUCTORES DE BT'!$D$2:$BL$155,10,FALSE)</f>
        <v>0.79600000000000004</v>
      </c>
      <c r="K25" s="1163">
        <f>+VLOOKUP(D25,'H2-CONDUCTORES DE BT'!$D$2:$BL$155,28,FALSE)</f>
        <v>25</v>
      </c>
      <c r="L25" s="1164">
        <f>+VLOOKUP(D25,'H2-CONDUCTORES DE BT'!$D$2:$BL$155,11,FALSE)</f>
        <v>0.94099999999999995</v>
      </c>
      <c r="M25" s="1063">
        <f>+VLOOKUP(D25,'H2-CONDUCTORES DE BT'!$D$2:$BL$155,4,FALSE)</f>
        <v>54</v>
      </c>
      <c r="N25" s="1165">
        <f t="shared" si="3"/>
        <v>1</v>
      </c>
      <c r="O25" s="1055" t="str">
        <f>IF(VLOOKUP(D25,'H2-CONDUCTORES DE BT'!$D$2:$BL$155,57,FALSE)="Al",VLOOKUP(D25,'H2-CONDUCTORES DE BT'!$D$2:$BL$155,55,FALSE),VLOOKUP(D25,'H2-CONDUCTORES DE BT'!$D$2:$BL$155,36,FALSE))</f>
        <v>12 AWG</v>
      </c>
      <c r="P25" s="1091" t="str">
        <f t="shared" si="4"/>
        <v>Al</v>
      </c>
      <c r="Q25" s="1166"/>
      <c r="R25" s="1155">
        <f t="shared" si="5"/>
        <v>1645634.3742159924</v>
      </c>
      <c r="S25" s="1155">
        <f t="shared" si="6"/>
        <v>1645634.3742159924</v>
      </c>
      <c r="T25" s="1155">
        <f t="shared" si="7"/>
        <v>1645634.3742159924</v>
      </c>
      <c r="U25" s="1159">
        <v>1</v>
      </c>
      <c r="V25" s="1158" t="s">
        <v>802</v>
      </c>
      <c r="W25" s="1156">
        <f t="shared" si="8"/>
        <v>1</v>
      </c>
      <c r="X25" s="1158" t="s">
        <v>802</v>
      </c>
      <c r="Y25" s="1168" t="str">
        <f t="shared" si="9"/>
        <v>OPCIÓN TÉCNICA</v>
      </c>
      <c r="Z25" s="499">
        <f>+VLOOKUP(D25,'H2-CONDUCTORES DE BT'!$D$2:$BL$155,37,FALSE)</f>
        <v>1</v>
      </c>
      <c r="AA25" s="343" t="str">
        <f>+VLOOKUP(D25,'H2-CONDUCTORES DE BT'!$D$2:$BL$155,55,FALSE)</f>
        <v>12 AWG</v>
      </c>
      <c r="AB25" s="343" t="str">
        <f>IF(AE25="Multiconductor","N/A",IF(VLOOKUP(D25,'H2-CONDUCTORES DE BT'!$D$2:$BL$155,50,FALSE)&lt;&gt;1,VLOOKUP(D25,'H2-CONDUCTORES DE BT'!$D$2:$BL$155,50,FALSE),IF(VLOOKUP(D25,'H2-CONDUCTORES DE BT'!$D$2:$BL$155,23,FALSE)="BANDEJA",1,IF(VLOOKUP(D25,'H2-CONDUCTORES DE BT'!$D$2:$BL$155,24,FALSE)&lt;&gt;3,IF(((VLOOKUP(D25,'H2-CONDUCTORES DE BT'!$D$2:$BL$155,24,FALSE))/3)=Z25,1),VLOOKUP(D25,'H2-CONDUCTORES DE BT'!$D$2:$BL$155,37,FALSE)))))</f>
        <v>N/A</v>
      </c>
      <c r="AC25" s="343" t="str">
        <f>IF(AE25="Multiconductor","N/A",(IF((VLOOKUP(D25,'H2-CONDUCTORES DE BT'!$D$2:$BL$155,40,FALSE))="Al",IF((VLOOKUP(D25,'H2-CONDUCTORES DE BT'!$D$2:$BL$155,51,FALSE))="No",LOOKUP((VLOOKUP(D25,'H2-CONDUCTORES DE BT'!$D$2:$BL$155,16,FALSE)),CONDUCTORES!$A$111:$A$131,CONDUCTORES!$C$111:$C$131),(VLOOKUP(D25,'H2-CONDUCTORES DE BT'!$D$2:$BL$155,51,FALSE))),IF((VLOOKUP(D25,'H2-CONDUCTORES DE BT'!$D$2:$BL$155,51,FALSE))="No",LOOKUP((VLOOKUP(D25,'H2-CONDUCTORES DE BT'!$D$2:$BL$155,16,FALSE)),CONDUCTORES!$A$111:$A$131,CONDUCTORES!$B$111:$B$131),(VLOOKUP(D25,'H2-CONDUCTORES DE BT'!$D$2:$BL$155,51,FALSE))))))</f>
        <v>N/A</v>
      </c>
      <c r="AD25" s="340">
        <f t="shared" si="10"/>
        <v>2</v>
      </c>
      <c r="AE25" s="464" t="str">
        <f>+VLOOKUP(D25,'H2-CONDUCTORES DE BT'!$D$2:$BL$155,38,FALSE)</f>
        <v>Multiconductor</v>
      </c>
      <c r="AF25" s="531" t="str">
        <f>IF(AE25="Monopolar","N/A",VLOOKUP(D25,'H2-CONDUCTORES DE BT'!$D$2:$BL$192,39,FALSE))</f>
        <v>4/C  -</v>
      </c>
      <c r="AG25" s="437">
        <f>+VLOOKUP(D25,'H2-CONDUCTORES DE BT'!$D$2:$CL$492,70,FALSE)</f>
        <v>18</v>
      </c>
      <c r="AH25" s="434">
        <f>(VLOOKUP(AG25,CONDUCTORES!$A$9:$G$62,6,FALSE))*(Z25)</f>
        <v>86.59014751456867</v>
      </c>
      <c r="AI25" s="434">
        <f t="shared" si="11"/>
        <v>47.06819006342775</v>
      </c>
      <c r="AJ25" s="434" t="str">
        <f>+IF(U25=1,"N/A",IF((AI25/U25)&lt;CONDUCTORES!$F$9,CONDUCTORES!$F$9,IF((AI25/U25)&lt;CONDUCTORES!$F$10,CONDUCTORES!$F$10,IF((AI25/U25)&lt;CONDUCTORES!$F$11,CONDUCTORES!$F$11,IF((AI25/U25)&lt;CONDUCTORES!$F$12,CONDUCTORES!$F$12,IF((AI25/U25)&lt;CONDUCTORES!$F$13,CONDUCTORES!$F$13,IF((AI25/U25)&lt;CONDUCTORES!$F$14,CONDUCTORES!$F$14,IF((AI25/U25)&lt;CONDUCTORES!$F$15,CONDUCTORES!$F$15,IF((AI25/U25)&lt;CONDUCTORES!$F$16,CONDUCTORES!$F$16,IF((AI25/U25)&lt;CONDUCTORES!$F$17,CONDUCTORES!$F$17,IF((AI25/U25)&lt;CONDUCTORES!$F$18,CONDUCTORES!$F$18,IF((AI25/U25)&lt;CONDUCTORES!$F$19,CONDUCTORES!$F$19,IF((AI25/U25)&lt;CONDUCTORES!$F$20,CONDUCTORES!$F$20,IF((AI25/U25)&lt;CONDUCTORES!$F$21,CONDUCTORES!$F$21,IF((AI25/U25)&lt;CONDUCTORES!$F$22,CONDUCTORES!$F$22,CONDUCTORES!$F$23)))))))))))))))</f>
        <v>N/A</v>
      </c>
      <c r="AK25" s="434">
        <f>IF(AF25="2/C  -",IF(AI25&lt;CONDUCTORES!$F$33,CONDUCTORES!$F$33,IF(AI25&lt;CONDUCTORES!$F$36,CONDUCTORES!$F$36,IF(AI25&lt;CONDUCTORES!$F$39,CONDUCTORES!$F$39,IF(AI25&lt;CONDUCTORES!$F$42,CONDUCTORES!$F$42,IF(AI25&lt;CONDUCTORES!$F$45,CONDUCTORES!$F$45,IF(AI25&lt;CONDUCTORES!$F$48,CONDUCTORES!$F$48,IF(AI25&lt;CONDUCTORES!$F$51,CONDUCTORES!$F$51,IF(AI25&lt;CONDUCTORES!$F$54,CONDUCTORES!$F$54,IF(AI25&lt;CONDUCTORES!$F$57,CONDUCTORES!$F$57,CONDUCTORES!$F$60))))))))),0)</f>
        <v>0</v>
      </c>
      <c r="AL25" s="434">
        <f>IF(AF25="3/C  -",IF(AI25&lt;CONDUCTORES!$F$34,CONDUCTORES!$F$34,IF(AI25&lt;CONDUCTORES!$F$37,CONDUCTORES!$F$37,IF(AI25&lt;CONDUCTORES!$F$40,CONDUCTORES!$F$40,IF(AI25&lt;CONDUCTORES!$F$43,CONDUCTORES!$F$43,IF(AI25&lt;CONDUCTORES!$F$46,CONDUCTORES!$F$46,IF(AI25&lt;CONDUCTORES!$F$49,CONDUCTORES!$F$49,IF(AI25&lt;CONDUCTORES!$F$52,CONDUCTORES!$F$52,IF(AI25&lt;CONDUCTORES!$F$55,CONDUCTORES!$F$55,IF(AI25&lt;CONDUCTORES!$F$58,CONDUCTORES!$F$58,CONDUCTORES!$F$61))))))))),0)</f>
        <v>0</v>
      </c>
      <c r="AM25" s="434">
        <f>IF(AF25="4/C  -",IF(AI25&lt;CONDUCTORES!$F$35,CONDUCTORES!$F$35,IF(AI25&lt;CONDUCTORES!$F$38,CONDUCTORES!$F$38,IF(AI25&lt;CONDUCTORES!$F$41,CONDUCTORES!$F$41,IF(AI25&lt;CONDUCTORES!$F$44,CONDUCTORES!$F$44,IF(AI25&lt;CONDUCTORES!$F$47,CONDUCTORES!$F$47,IF(AI25&lt;CONDUCTORES!$F$50,CONDUCTORES!$F$50,IF(AI25&lt;CONDUCTORES!$F$53,CONDUCTORES!$F$53,IF(AI25&lt;CONDUCTORES!$F$56,CONDUCTORES!$F$56,IF(AI25&lt;CONDUCTORES!$F$59,CONDUCTORES!$F$59,CONDUCTORES!$F$62))))))))),0)</f>
        <v>277.59112687119415</v>
      </c>
      <c r="AN25" s="436">
        <f>IF(AE25="Multiconductor",IF(AF25="2/C  -",AK25,IF(AF25="3/C  -",AL25,IF(AF25="4/C  -",AM25,"NO SE CÁLCULO, REVISAR"))),IF(AI25&lt;CONDUCTORES!$F$9,CONDUCTORES!$F$9,IF(AI25&lt;CONDUCTORES!$F$10,CONDUCTORES!$F$10,IF(AI25&lt;CONDUCTORES!$F$11,CONDUCTORES!$F$11,IF(AI25&lt;CONDUCTORES!$F$12,CONDUCTORES!$F$12,IF(AI25&lt;CONDUCTORES!$F$13,CONDUCTORES!$F$13,IF(AI25&lt;CONDUCTORES!$F$14,CONDUCTORES!$F$14,IF(AI25&lt;CONDUCTORES!$F$15,CONDUCTORES!$F$15,IF(AI25&lt;CONDUCTORES!$F$16,CONDUCTORES!$F$16,IF(AI25&lt;CONDUCTORES!$F$17,CONDUCTORES!$F$17,IF(AI25&lt;CONDUCTORES!$F$18,CONDUCTORES!$F$18,IF(AI25&lt;CONDUCTORES!$F$19,CONDUCTORES!$F$19,IF(AI25&lt;CONDUCTORES!$F$20,CONDUCTORES!$F$20,IF(AI25&lt;CONDUCTORES!$F$21,CONDUCTORES!$F$21,IF(AI25&lt;CONDUCTORES!$F$22,CONDUCTORES!$F$22,CONDUCTORES!$F$23)))))))))))))))</f>
        <v>277.59112687119415</v>
      </c>
      <c r="AO25" s="1197" t="str">
        <f t="shared" si="12"/>
        <v>12 AWG</v>
      </c>
      <c r="AP25" s="1196" cm="1">
        <f t="array" ref="AP25">IF(AE25="Multiconductor",INDEX(CONDUCTORES!$A$24:$A$62,MATCH(1,(CONDUCTORES!$B$24:$B$62=AO25)*(CONDUCTORES!$C$24:$C$62=AF25),0)),VLOOKUP(AO25,CONDUCTORES!$B$9:$X$23,23,FALSE))</f>
        <v>18</v>
      </c>
      <c r="AQ25" s="1197" t="str">
        <f t="shared" si="13"/>
        <v>12 AWG</v>
      </c>
      <c r="AR25" s="437" cm="1">
        <f t="array" ref="AR25">IF(AE25="Multiconductor",INDEX(CONDUCTORES!$A$24:$A$62,MATCH(1,(CONDUCTORES!$B$24:$B$62=AQ25)*(CONDUCTORES!$C$24:$C$62=AF25),0)),VLOOKUP(AQ25,CONDUCTORES!$B$9:$X$23,23,FALSE))</f>
        <v>18</v>
      </c>
      <c r="AS25" s="438">
        <f t="shared" si="14"/>
        <v>25</v>
      </c>
      <c r="AT25" s="1195">
        <f t="shared" si="1"/>
        <v>26993.575512884076</v>
      </c>
      <c r="AU25" s="439">
        <f t="shared" si="2"/>
        <v>3.03E-8</v>
      </c>
      <c r="AV25" s="437">
        <f t="shared" si="15"/>
        <v>1.0379440265924265</v>
      </c>
      <c r="AW25" s="440">
        <f>VLOOKUP(AG25,COSTOS!$A$7:$Z$94,7,FALSE)</f>
        <v>271.67063084217659</v>
      </c>
      <c r="AX25" s="437">
        <f>((2.5)/(18*LN((VLOOKUP(O25,CONDUCTORES!$B$9:$AF$23,24,FALSE))/(VLOOKUP(O25,CONDUCTORES!$B$9:$D$23,3,FALSE)))))*-0.000000001</f>
        <v>5.9904367158024496E-11</v>
      </c>
      <c r="AY25" s="437">
        <f t="shared" si="16"/>
        <v>5.2032186717215502E-6</v>
      </c>
      <c r="AZ25" s="437">
        <f>(0.12)*(5000)*(LN((VLOOKUP(O25,CONDUCTORES!$B$9:$AF$23,24,FALSE))/(VLOOKUP(O25,CONDUCTORES!$B$9:$D$23,3,FALSE))))</f>
        <v>-1391.106146126283</v>
      </c>
      <c r="BA25" s="437">
        <f>+($AW$3)-(((K25^2)*(VLOOKUP(O25,CONDUCTORES!$B$9:$K$23,7,FALSE)))+(0.5*AY25))*(AZ25)</f>
        <v>5981492.7222300982</v>
      </c>
      <c r="BB25" s="441">
        <f t="shared" si="17"/>
        <v>24106.335070587294</v>
      </c>
      <c r="BC25" s="437">
        <f>+SQRT(((8*PI()*60)/(VLOOKUP(O25,CONDUCTORES!$B$9:$K$23,9,FALSE)))*(0.0000001)*(1))</f>
        <v>3.7009787327503545E-3</v>
      </c>
      <c r="BD25" s="437">
        <f>+SQRT(((8*PI()*60)/(VLOOKUP(O25,CONDUCTORES!$B$9:$K$23,9,FALSE)))*(0.0000001)*(1))</f>
        <v>3.7009787327503545E-3</v>
      </c>
      <c r="BE25" s="442">
        <f>((BD25^4)/((192)+((0.8)*(BD25^4))))*(((VLOOKUP(O25,CONDUCTORES!$B$9:$K$23,9,FALSE))/(1))^2)*(2.9)</f>
        <v>3.4346223315764094E-10</v>
      </c>
      <c r="BF25" s="442">
        <f t="shared" si="18"/>
        <v>9.7715875883912776E-13</v>
      </c>
      <c r="BG25" s="437">
        <f t="shared" si="19"/>
        <v>3.7944026234917876E-2</v>
      </c>
      <c r="BH25" s="437">
        <v>0</v>
      </c>
      <c r="BI25" s="434">
        <f>(IF(AE25="Multiconductor",VLOOKUP(AP25,CONDUCTORES!$A$24:$G$62,6,FALSE),VLOOKUP(AO25,CONDUCTORES!$B$9:$F$23,5,FALSE)))*(U25)</f>
        <v>86.59014751456867</v>
      </c>
      <c r="BJ25" s="434">
        <f>(IF(AE25="Multiconductor",VLOOKUP(AR25,CONDUCTORES!$A$24:$G$62,6,FALSE),VLOOKUP(AQ25,CONDUCTORES!$B$9:$F$23,5,FALSE)))*(U25)</f>
        <v>86.59014751456867</v>
      </c>
      <c r="BK25" s="1194">
        <f t="shared" si="20"/>
        <v>4.1199199448398556E-4</v>
      </c>
      <c r="BL25" s="443">
        <f t="shared" si="21"/>
        <v>4.1199199448398556E-4</v>
      </c>
      <c r="BM25" s="443">
        <f t="shared" si="22"/>
        <v>4.1199199448398556E-4</v>
      </c>
      <c r="BN25" s="1192">
        <f t="shared" si="23"/>
        <v>375338.37421599246</v>
      </c>
      <c r="BO25" s="1198">
        <f t="shared" si="24"/>
        <v>375338.37421599246</v>
      </c>
      <c r="BP25" s="444">
        <f t="shared" si="25"/>
        <v>375338.37421599246</v>
      </c>
      <c r="BQ25" s="1193">
        <f>VLOOKUP(AP25,COSTOS!$A$7:$I$60,4,FALSE)</f>
        <v>5873</v>
      </c>
      <c r="BR25" s="1193">
        <f>VLOOKUP(AP25,COSTOS!$A$7:$I$60,5,FALSE)</f>
        <v>17651</v>
      </c>
      <c r="BS25" s="1193">
        <f t="shared" si="26"/>
        <v>23524</v>
      </c>
      <c r="BT25" s="1192">
        <f t="shared" si="27"/>
        <v>1270296</v>
      </c>
      <c r="BU25" s="444">
        <f>VLOOKUP(AR25,COSTOS!$A$7:$I$60,4,FALSE)</f>
        <v>5873</v>
      </c>
      <c r="BV25" s="444">
        <f>VLOOKUP(AR25,COSTOS!$A$7:$I$60,5,FALSE)</f>
        <v>17651</v>
      </c>
      <c r="BW25" s="1198">
        <f t="shared" si="28"/>
        <v>23524</v>
      </c>
      <c r="BX25" s="1198">
        <f t="shared" si="29"/>
        <v>1270296</v>
      </c>
      <c r="BY25" s="444">
        <f>VLOOKUP(AG25,COSTOS!$A$7:$I$60,4,FALSE)</f>
        <v>5873</v>
      </c>
      <c r="BZ25" s="444">
        <f>VLOOKUP(AG25,COSTOS!$A$7:$I$60,5,FALSE)</f>
        <v>17651</v>
      </c>
      <c r="CA25" s="444">
        <f t="shared" si="30"/>
        <v>23524</v>
      </c>
      <c r="CB25" s="444">
        <f t="shared" si="31"/>
        <v>1270296</v>
      </c>
      <c r="CC25" s="444">
        <f t="shared" si="32"/>
        <v>1645634.3742159924</v>
      </c>
      <c r="CD25" s="1198">
        <f t="shared" si="33"/>
        <v>1645634.3742159924</v>
      </c>
      <c r="CE25" s="444">
        <f t="shared" si="34"/>
        <v>1645634.3742159924</v>
      </c>
      <c r="CF25" s="445"/>
    </row>
    <row r="26" spans="2:84" s="408" customFormat="1" ht="15.6" hidden="1" x14ac:dyDescent="0.25">
      <c r="B26" s="372">
        <v>10</v>
      </c>
      <c r="C26" s="852" t="str">
        <f>+_xlfn.CONCAT($C$18,".",SUBTOTAL(103,$X$19:X26))</f>
        <v>5.2.7</v>
      </c>
      <c r="D26" s="1040" t="e">
        <f>+'H2-CONDUCTORES DE BT'!#REF!</f>
        <v>#REF!</v>
      </c>
      <c r="E26" s="1088" t="e">
        <f>+VLOOKUP(D26,'H2-CONDUCTORES DE BT'!$D$2:$BL$155,2,FALSE)</f>
        <v>#REF!</v>
      </c>
      <c r="F26" s="1160" t="e">
        <f>+VLOOKUP(D26,'H2-CONDUCTORES DE BT'!$D$2:$BL$155,6,FALSE)</f>
        <v>#REF!</v>
      </c>
      <c r="G26" s="1093" t="e">
        <f>+VLOOKUP(D26,'H2-CONDUCTORES DE BT'!$D$2:$BL$155,7,FALSE)</f>
        <v>#REF!</v>
      </c>
      <c r="H26" s="1161" t="e">
        <f>+VLOOKUP(D26,'H2-CONDUCTORES DE BT'!$D$2:$BL$155,8,FALSE)</f>
        <v>#REF!</v>
      </c>
      <c r="I26" s="1093" t="e">
        <f>+VLOOKUP(D26,'H2-CONDUCTORES DE BT'!$D$2:$BL$155,9,FALSE)</f>
        <v>#REF!</v>
      </c>
      <c r="J26" s="1162" t="e">
        <f>+VLOOKUP(D26,'H2-CONDUCTORES DE BT'!$D$2:$BL$155,10,FALSE)</f>
        <v>#REF!</v>
      </c>
      <c r="K26" s="1163" t="e">
        <f>+VLOOKUP(D26,'H2-CONDUCTORES DE BT'!$D$2:$BL$155,28,FALSE)</f>
        <v>#REF!</v>
      </c>
      <c r="L26" s="1164" t="e">
        <f>+VLOOKUP(D26,'H2-CONDUCTORES DE BT'!$D$2:$BL$155,11,FALSE)</f>
        <v>#REF!</v>
      </c>
      <c r="M26" s="1063" t="e">
        <f>+VLOOKUP(D26,'H2-CONDUCTORES DE BT'!$D$2:$BL$155,4,FALSE)</f>
        <v>#REF!</v>
      </c>
      <c r="N26" s="1165" t="e">
        <f t="shared" ref="N26:N32" si="35">+Z26</f>
        <v>#REF!</v>
      </c>
      <c r="O26" s="1055" t="e">
        <f>IF(VLOOKUP(D26,'H2-CONDUCTORES DE BT'!$D$2:$BL$155,57,FALSE)="Al",VLOOKUP(D26,'H2-CONDUCTORES DE BT'!$D$2:$BL$155,55,FALSE),VLOOKUP(D26,'H2-CONDUCTORES DE BT'!$D$2:$BL$155,36,FALSE))</f>
        <v>#REF!</v>
      </c>
      <c r="P26" s="1091" t="e">
        <f t="shared" ref="P26:P32" si="36">IF(AE26="Cable Armado","Cu","Al")</f>
        <v>#REF!</v>
      </c>
      <c r="Q26" s="1166"/>
      <c r="R26" s="1155" t="e">
        <f t="shared" si="5"/>
        <v>#REF!</v>
      </c>
      <c r="S26" s="1155" t="e">
        <f t="shared" si="6"/>
        <v>#REF!</v>
      </c>
      <c r="T26" s="1155" t="e">
        <f t="shared" si="7"/>
        <v>#REF!</v>
      </c>
      <c r="U26" s="1159">
        <v>9</v>
      </c>
      <c r="V26" s="1158" t="s">
        <v>964</v>
      </c>
      <c r="W26" s="1159">
        <v>2</v>
      </c>
      <c r="X26" s="1158" t="s">
        <v>966</v>
      </c>
      <c r="Y26" s="1168" t="e">
        <f t="shared" ref="Y26:Y32" si="37">IF(MIN(R26:T26)=T26,"OPCIÓN TÉCNICA",IF(MIN(R26:T26)=S26,"OPCIÓN 2","OPCIÓN 1"))</f>
        <v>#REF!</v>
      </c>
      <c r="Z26" s="499" t="e">
        <f>+VLOOKUP(D26,'H2-CONDUCTORES DE BT'!$D$2:$BL$155,37,FALSE)</f>
        <v>#REF!</v>
      </c>
      <c r="AA26" s="343" t="e">
        <f>+VLOOKUP(D26,'H2-CONDUCTORES DE BT'!$D$2:$BL$155,55,FALSE)</f>
        <v>#REF!</v>
      </c>
      <c r="AB26" s="343" t="e">
        <f>IF(AE26="Multiconductor","N/A",IF(VLOOKUP(D26,'H2-CONDUCTORES DE BT'!$D$2:$BL$155,50,FALSE)&lt;&gt;1,VLOOKUP(D26,'H2-CONDUCTORES DE BT'!$D$2:$BL$155,50,FALSE),IF(VLOOKUP(D26,'H2-CONDUCTORES DE BT'!$D$2:$BL$155,23,FALSE)="BANDEJA",1,IF(VLOOKUP(D26,'H2-CONDUCTORES DE BT'!$D$2:$BL$155,24,FALSE)&lt;&gt;3,IF(((VLOOKUP(D26,'H2-CONDUCTORES DE BT'!$D$2:$BL$155,24,FALSE))/3)=Z26,1),VLOOKUP(D26,'H2-CONDUCTORES DE BT'!$D$2:$BL$155,37,FALSE)))))</f>
        <v>#REF!</v>
      </c>
      <c r="AC26" s="343" t="e">
        <f>IF(AE26="Multiconductor","N/A",(IF((VLOOKUP(D26,'H2-CONDUCTORES DE BT'!$D$2:$BL$155,40,FALSE))="Al",IF((VLOOKUP(D26,'H2-CONDUCTORES DE BT'!$D$2:$BL$155,51,FALSE))="No",LOOKUP((VLOOKUP(D26,'H2-CONDUCTORES DE BT'!$D$2:$BL$155,16,FALSE)),CONDUCTORES!$A$111:$A$131,CONDUCTORES!$C$111:$C$131),(VLOOKUP(D26,'H2-CONDUCTORES DE BT'!$D$2:$BL$155,51,FALSE))),IF((VLOOKUP(D26,'H2-CONDUCTORES DE BT'!$D$2:$BL$155,51,FALSE))="No",LOOKUP((VLOOKUP(D26,'H2-CONDUCTORES DE BT'!$D$2:$BL$155,16,FALSE)),CONDUCTORES!$A$111:$A$131,CONDUCTORES!$B$111:$B$131),(VLOOKUP(D26,'H2-CONDUCTORES DE BT'!$D$2:$BL$155,51,FALSE))))))</f>
        <v>#REF!</v>
      </c>
      <c r="AD26" s="340">
        <f t="shared" si="10"/>
        <v>2</v>
      </c>
      <c r="AE26" s="464" t="e">
        <f>+VLOOKUP(D26,'H2-CONDUCTORES DE BT'!$D$2:$BL$155,38,FALSE)</f>
        <v>#REF!</v>
      </c>
      <c r="AF26" s="531" t="e">
        <f>IF(AE26="Monopolar","N/A",VLOOKUP(D26,'H2-CONDUCTORES DE BT'!$D$2:$BL$192,39,FALSE))</f>
        <v>#REF!</v>
      </c>
      <c r="AG26" s="437" t="e">
        <f>+VLOOKUP(D26,'H2-CONDUCTORES DE BT'!$D$2:$CL$492,70,FALSE)</f>
        <v>#REF!</v>
      </c>
      <c r="AH26" s="434" t="e">
        <f>(VLOOKUP(AG26,CONDUCTORES!$A$9:$G$62,6,FALSE))*(Z26)</f>
        <v>#REF!</v>
      </c>
      <c r="AI26" s="434" t="e">
        <f t="shared" si="11"/>
        <v>#REF!</v>
      </c>
      <c r="AJ26" s="434" t="e">
        <f>+IF(U26=1,"N/A",IF((AI26/U26)&lt;CONDUCTORES!$F$9,CONDUCTORES!$F$9,IF((AI26/U26)&lt;CONDUCTORES!$F$10,CONDUCTORES!$F$10,IF((AI26/U26)&lt;CONDUCTORES!$F$11,CONDUCTORES!$F$11,IF((AI26/U26)&lt;CONDUCTORES!$F$12,CONDUCTORES!$F$12,IF((AI26/U26)&lt;CONDUCTORES!$F$13,CONDUCTORES!$F$13,IF((AI26/U26)&lt;CONDUCTORES!$F$14,CONDUCTORES!$F$14,IF((AI26/U26)&lt;CONDUCTORES!$F$15,CONDUCTORES!$F$15,IF((AI26/U26)&lt;CONDUCTORES!$F$16,CONDUCTORES!$F$16,IF((AI26/U26)&lt;CONDUCTORES!$F$17,CONDUCTORES!$F$17,IF((AI26/U26)&lt;CONDUCTORES!$F$18,CONDUCTORES!$F$18,IF((AI26/U26)&lt;CONDUCTORES!$F$19,CONDUCTORES!$F$19,IF((AI26/U26)&lt;CONDUCTORES!$F$20,CONDUCTORES!$F$20,IF((AI26/U26)&lt;CONDUCTORES!$F$21,CONDUCTORES!$F$21,IF((AI26/U26)&lt;CONDUCTORES!$F$22,CONDUCTORES!$F$22,CONDUCTORES!$F$23)))))))))))))))</f>
        <v>#REF!</v>
      </c>
      <c r="AK26" s="434" t="e">
        <f>IF(AF26="2/C  -",IF(AI26&lt;CONDUCTORES!$F$33,CONDUCTORES!$F$33,IF(AI26&lt;CONDUCTORES!$F$36,CONDUCTORES!$F$36,IF(AI26&lt;CONDUCTORES!$F$39,CONDUCTORES!$F$39,IF(AI26&lt;CONDUCTORES!$F$42,CONDUCTORES!$F$42,IF(AI26&lt;CONDUCTORES!$F$45,CONDUCTORES!$F$45,IF(AI26&lt;CONDUCTORES!$F$48,CONDUCTORES!$F$48,IF(AI26&lt;CONDUCTORES!$F$51,CONDUCTORES!$F$51,IF(AI26&lt;CONDUCTORES!$F$54,CONDUCTORES!$F$54,IF(AI26&lt;CONDUCTORES!$F$57,CONDUCTORES!$F$57,CONDUCTORES!$F$60))))))))),0)</f>
        <v>#REF!</v>
      </c>
      <c r="AL26" s="434" t="e">
        <f>IF(AF26="3/C  -",IF(AI26&lt;CONDUCTORES!$F$34,CONDUCTORES!$F$34,IF(AI26&lt;CONDUCTORES!$F$37,CONDUCTORES!$F$37,IF(AI26&lt;CONDUCTORES!$F$40,CONDUCTORES!$F$40,IF(AI26&lt;CONDUCTORES!$F$43,CONDUCTORES!$F$43,IF(AI26&lt;CONDUCTORES!$F$46,CONDUCTORES!$F$46,IF(AI26&lt;CONDUCTORES!$F$49,CONDUCTORES!$F$49,IF(AI26&lt;CONDUCTORES!$F$52,CONDUCTORES!$F$52,IF(AI26&lt;CONDUCTORES!$F$55,CONDUCTORES!$F$55,IF(AI26&lt;CONDUCTORES!$F$58,CONDUCTORES!$F$58,CONDUCTORES!$F$61))))))))),0)</f>
        <v>#REF!</v>
      </c>
      <c r="AM26" s="434" t="e">
        <f>IF(AF26="4/C  -",IF(AI26&lt;CONDUCTORES!$F$35,CONDUCTORES!$F$35,IF(AI26&lt;CONDUCTORES!$F$38,CONDUCTORES!$F$38,IF(AI26&lt;CONDUCTORES!$F$41,CONDUCTORES!$F$41,IF(AI26&lt;CONDUCTORES!$F$44,CONDUCTORES!$F$44,IF(AI26&lt;CONDUCTORES!$F$47,CONDUCTORES!$F$47,IF(AI26&lt;CONDUCTORES!$F$50,CONDUCTORES!$F$50,IF(AI26&lt;CONDUCTORES!$F$53,CONDUCTORES!$F$53,IF(AI26&lt;CONDUCTORES!$F$56,CONDUCTORES!$F$56,IF(AI26&lt;CONDUCTORES!$F$59,CONDUCTORES!$F$59,CONDUCTORES!$F$62))))))))),0)</f>
        <v>#REF!</v>
      </c>
      <c r="AN26" s="436" t="e">
        <f>IF(AE26="Multiconductor",IF(AF26="2/C  -",AK26,IF(AF26="3/C  -",AL26,IF(AF26="4/C  -",AM26,"NO SE CÁLCULO, REVISAR"))),IF(AI26&lt;CONDUCTORES!$F$9,CONDUCTORES!$F$9,IF(AI26&lt;CONDUCTORES!$F$10,CONDUCTORES!$F$10,IF(AI26&lt;CONDUCTORES!$F$11,CONDUCTORES!$F$11,IF(AI26&lt;CONDUCTORES!$F$12,CONDUCTORES!$F$12,IF(AI26&lt;CONDUCTORES!$F$13,CONDUCTORES!$F$13,IF(AI26&lt;CONDUCTORES!$F$14,CONDUCTORES!$F$14,IF(AI26&lt;CONDUCTORES!$F$15,CONDUCTORES!$F$15,IF(AI26&lt;CONDUCTORES!$F$16,CONDUCTORES!$F$16,IF(AI26&lt;CONDUCTORES!$F$17,CONDUCTORES!$F$17,IF(AI26&lt;CONDUCTORES!$F$18,CONDUCTORES!$F$18,IF(AI26&lt;CONDUCTORES!$F$19,CONDUCTORES!$F$19,IF(AI26&lt;CONDUCTORES!$F$20,CONDUCTORES!$F$20,IF(AI26&lt;CONDUCTORES!$F$21,CONDUCTORES!$F$21,IF(AI26&lt;CONDUCTORES!$F$22,CONDUCTORES!$F$22,CONDUCTORES!$F$23)))))))))))))))</f>
        <v>#REF!</v>
      </c>
      <c r="AO26" s="1197" t="str">
        <f t="shared" si="12"/>
        <v>250 kcmil</v>
      </c>
      <c r="AP26" s="1196" t="e" cm="1">
        <f t="array" ref="AP26">IF(AE26="Multiconductor",INDEX(CONDUCTORES!$A$24:$A$62,MATCH(1,(CONDUCTORES!$B$24:$B$62=AO26)*(CONDUCTORES!$C$24:$C$62=AF26),0)),VLOOKUP(AO26,CONDUCTORES!$B$9:$X$23,23,FALSE))</f>
        <v>#REF!</v>
      </c>
      <c r="AQ26" s="1197" t="str">
        <f t="shared" si="13"/>
        <v>500 kcmil</v>
      </c>
      <c r="AR26" s="437" t="e" cm="1">
        <f t="array" ref="AR26">IF(AE26="Multiconductor",INDEX(CONDUCTORES!$A$24:$A$62,MATCH(1,(CONDUCTORES!$B$24:$B$62=AQ26)*(CONDUCTORES!$C$24:$C$62=AF26),0)),VLOOKUP(AQ26,CONDUCTORES!$B$9:$X$23,23,FALSE))</f>
        <v>#REF!</v>
      </c>
      <c r="AS26" s="438" t="e">
        <f t="shared" si="14"/>
        <v>#REF!</v>
      </c>
      <c r="AT26" s="1195" t="e">
        <f t="shared" si="1"/>
        <v>#REF!</v>
      </c>
      <c r="AU26" s="439">
        <f t="shared" si="2"/>
        <v>3.03E-8</v>
      </c>
      <c r="AV26" s="437" t="e">
        <f t="shared" si="15"/>
        <v>#REF!</v>
      </c>
      <c r="AW26" s="440" t="e">
        <f>VLOOKUP(AG26,COSTOS!$A$7:$Z$94,7,FALSE)</f>
        <v>#REF!</v>
      </c>
      <c r="AX26" s="437" t="e">
        <f>((2.5)/(18*LN((VLOOKUP(O26,CONDUCTORES!$B$9:$AF$23,24,FALSE))/(VLOOKUP(O26,CONDUCTORES!$B$9:$D$23,3,FALSE)))))*-0.000000001</f>
        <v>#REF!</v>
      </c>
      <c r="AY26" s="437" t="e">
        <f t="shared" si="16"/>
        <v>#REF!</v>
      </c>
      <c r="AZ26" s="437" t="e">
        <f>(0.12)*(5000)*(LN((VLOOKUP(O26,CONDUCTORES!$B$9:$AF$23,24,FALSE))/(VLOOKUP(O26,CONDUCTORES!$B$9:$D$23,3,FALSE))))</f>
        <v>#REF!</v>
      </c>
      <c r="BA26" s="437" t="e">
        <f>+($AW$3)-(((K26^2)*(VLOOKUP(O26,CONDUCTORES!$B$9:$K$23,7,FALSE)))+(0.5*AY26))*(AZ26)</f>
        <v>#REF!</v>
      </c>
      <c r="BB26" s="441" t="e">
        <f t="shared" si="17"/>
        <v>#REF!</v>
      </c>
      <c r="BC26" s="437" t="e">
        <f>+SQRT(((8*PI()*60)/(VLOOKUP(O26,CONDUCTORES!$B$9:$K$23,9,FALSE)))*(0.0000001)*(1))</f>
        <v>#REF!</v>
      </c>
      <c r="BD26" s="437" t="e">
        <f>+SQRT(((8*PI()*60)/(VLOOKUP(O26,CONDUCTORES!$B$9:$K$23,9,FALSE)))*(0.0000001)*(1))</f>
        <v>#REF!</v>
      </c>
      <c r="BE26" s="442" t="e">
        <f>((BD26^4)/((192)+((0.8)*(BD26^4))))*(((VLOOKUP(O26,CONDUCTORES!$B$9:$K$23,9,FALSE))/(1))^2)*(2.9)</f>
        <v>#REF!</v>
      </c>
      <c r="BF26" s="442" t="e">
        <f t="shared" si="18"/>
        <v>#REF!</v>
      </c>
      <c r="BG26" s="437" t="e">
        <f t="shared" si="19"/>
        <v>#REF!</v>
      </c>
      <c r="BH26" s="437">
        <v>0</v>
      </c>
      <c r="BI26" s="434" t="e">
        <f>(IF(AE26="Multiconductor",VLOOKUP(AP26,CONDUCTORES!$A$24:$G$62,6,FALSE),VLOOKUP(AO26,CONDUCTORES!$B$9:$F$23,5,FALSE)))*(U26)</f>
        <v>#REF!</v>
      </c>
      <c r="BJ26" s="434" t="e">
        <f>(IF(AE26="Multiconductor",VLOOKUP(AR26,CONDUCTORES!$A$24:$G$62,6,FALSE),VLOOKUP(AQ26,CONDUCTORES!$B$9:$F$23,5,FALSE)))*(U26)</f>
        <v>#REF!</v>
      </c>
      <c r="BK26" s="1194" t="e">
        <f t="shared" si="20"/>
        <v>#REF!</v>
      </c>
      <c r="BL26" s="443" t="e">
        <f t="shared" si="21"/>
        <v>#REF!</v>
      </c>
      <c r="BM26" s="443" t="e">
        <f t="shared" si="22"/>
        <v>#REF!</v>
      </c>
      <c r="BN26" s="1192" t="e">
        <f t="shared" si="23"/>
        <v>#REF!</v>
      </c>
      <c r="BO26" s="1198" t="e">
        <f t="shared" si="24"/>
        <v>#REF!</v>
      </c>
      <c r="BP26" s="444" t="e">
        <f t="shared" si="25"/>
        <v>#REF!</v>
      </c>
      <c r="BQ26" s="1193" t="e">
        <f>VLOOKUP(AP26,COSTOS!$A$7:$I$60,4,FALSE)</f>
        <v>#REF!</v>
      </c>
      <c r="BR26" s="1193" t="e">
        <f>VLOOKUP(AP26,COSTOS!$A$7:$I$60,5,FALSE)</f>
        <v>#REF!</v>
      </c>
      <c r="BS26" s="1193" t="e">
        <f t="shared" si="26"/>
        <v>#REF!</v>
      </c>
      <c r="BT26" s="1192" t="e">
        <f t="shared" si="27"/>
        <v>#REF!</v>
      </c>
      <c r="BU26" s="444" t="e">
        <f>VLOOKUP(AR26,COSTOS!$A$7:$I$60,4,FALSE)</f>
        <v>#REF!</v>
      </c>
      <c r="BV26" s="444" t="e">
        <f>VLOOKUP(AR26,COSTOS!$A$7:$I$60,5,FALSE)</f>
        <v>#REF!</v>
      </c>
      <c r="BW26" s="1198" t="e">
        <f t="shared" si="28"/>
        <v>#REF!</v>
      </c>
      <c r="BX26" s="1198" t="e">
        <f t="shared" si="29"/>
        <v>#REF!</v>
      </c>
      <c r="BY26" s="444" t="e">
        <f>VLOOKUP(AG26,COSTOS!$A$7:$I$60,4,FALSE)</f>
        <v>#REF!</v>
      </c>
      <c r="BZ26" s="444" t="e">
        <f>VLOOKUP(AG26,COSTOS!$A$7:$I$60,5,FALSE)</f>
        <v>#REF!</v>
      </c>
      <c r="CA26" s="444" t="e">
        <f t="shared" si="30"/>
        <v>#REF!</v>
      </c>
      <c r="CB26" s="444" t="e">
        <f t="shared" si="31"/>
        <v>#REF!</v>
      </c>
      <c r="CC26" s="444" t="e">
        <f t="shared" si="32"/>
        <v>#REF!</v>
      </c>
      <c r="CD26" s="1198" t="e">
        <f t="shared" si="33"/>
        <v>#REF!</v>
      </c>
      <c r="CE26" s="444" t="e">
        <f t="shared" si="34"/>
        <v>#REF!</v>
      </c>
      <c r="CF26" s="445"/>
    </row>
    <row r="27" spans="2:84" s="408" customFormat="1" ht="15.6" hidden="1" x14ac:dyDescent="0.25">
      <c r="B27" s="372">
        <v>10</v>
      </c>
      <c r="C27" s="852" t="str">
        <f>+_xlfn.CONCAT($C$18,".",SUBTOTAL(103,$X$19:X27))</f>
        <v>5.2.7</v>
      </c>
      <c r="D27" s="1040" t="e">
        <f>+'H2-CONDUCTORES DE BT'!#REF!</f>
        <v>#REF!</v>
      </c>
      <c r="E27" s="1088" t="e">
        <f>+VLOOKUP(D27,'H2-CONDUCTORES DE BT'!$D$2:$BL$155,2,FALSE)</f>
        <v>#REF!</v>
      </c>
      <c r="F27" s="1160" t="e">
        <f>+VLOOKUP(D27,'H2-CONDUCTORES DE BT'!$D$2:$BL$155,6,FALSE)</f>
        <v>#REF!</v>
      </c>
      <c r="G27" s="1093" t="e">
        <f>+VLOOKUP(D27,'H2-CONDUCTORES DE BT'!$D$2:$BL$155,7,FALSE)</f>
        <v>#REF!</v>
      </c>
      <c r="H27" s="1161" t="e">
        <f>+VLOOKUP(D27,'H2-CONDUCTORES DE BT'!$D$2:$BL$155,8,FALSE)</f>
        <v>#REF!</v>
      </c>
      <c r="I27" s="1093" t="e">
        <f>+VLOOKUP(D27,'H2-CONDUCTORES DE BT'!$D$2:$BL$155,9,FALSE)</f>
        <v>#REF!</v>
      </c>
      <c r="J27" s="1162" t="e">
        <f>+VLOOKUP(D27,'H2-CONDUCTORES DE BT'!$D$2:$BL$155,10,FALSE)</f>
        <v>#REF!</v>
      </c>
      <c r="K27" s="1163" t="e">
        <f>+VLOOKUP(D27,'H2-CONDUCTORES DE BT'!$D$2:$BL$155,28,FALSE)</f>
        <v>#REF!</v>
      </c>
      <c r="L27" s="1164" t="e">
        <f>+VLOOKUP(D27,'H2-CONDUCTORES DE BT'!$D$2:$BL$155,11,FALSE)</f>
        <v>#REF!</v>
      </c>
      <c r="M27" s="1063" t="e">
        <f>+VLOOKUP(D27,'H2-CONDUCTORES DE BT'!$D$2:$BL$155,4,FALSE)</f>
        <v>#REF!</v>
      </c>
      <c r="N27" s="1165" t="e">
        <f t="shared" si="35"/>
        <v>#REF!</v>
      </c>
      <c r="O27" s="1055" t="e">
        <f>IF(VLOOKUP(D27,'H2-CONDUCTORES DE BT'!$D$2:$BL$155,57,FALSE)="Al",VLOOKUP(D27,'H2-CONDUCTORES DE BT'!$D$2:$BL$155,55,FALSE),VLOOKUP(D27,'H2-CONDUCTORES DE BT'!$D$2:$BL$155,36,FALSE))</f>
        <v>#REF!</v>
      </c>
      <c r="P27" s="1091" t="e">
        <f t="shared" si="36"/>
        <v>#REF!</v>
      </c>
      <c r="Q27" s="1166"/>
      <c r="R27" s="1155" t="e">
        <f t="shared" si="5"/>
        <v>#REF!</v>
      </c>
      <c r="S27" s="1155" t="e">
        <f t="shared" si="6"/>
        <v>#REF!</v>
      </c>
      <c r="T27" s="1155" t="e">
        <f t="shared" si="7"/>
        <v>#REF!</v>
      </c>
      <c r="U27" s="1159">
        <v>9</v>
      </c>
      <c r="V27" s="1158" t="s">
        <v>964</v>
      </c>
      <c r="W27" s="1159">
        <v>2</v>
      </c>
      <c r="X27" s="1158" t="s">
        <v>966</v>
      </c>
      <c r="Y27" s="1168" t="e">
        <f t="shared" si="37"/>
        <v>#REF!</v>
      </c>
      <c r="Z27" s="499" t="e">
        <f>+VLOOKUP(D27,'H2-CONDUCTORES DE BT'!$D$2:$BL$155,37,FALSE)</f>
        <v>#REF!</v>
      </c>
      <c r="AA27" s="343" t="e">
        <f>+VLOOKUP(D27,'H2-CONDUCTORES DE BT'!$D$2:$BL$155,55,FALSE)</f>
        <v>#REF!</v>
      </c>
      <c r="AB27" s="343" t="e">
        <f>IF(AE27="Multiconductor","N/A",IF(VLOOKUP(D27,'H2-CONDUCTORES DE BT'!$D$2:$BL$155,50,FALSE)&lt;&gt;1,VLOOKUP(D27,'H2-CONDUCTORES DE BT'!$D$2:$BL$155,50,FALSE),IF(VLOOKUP(D27,'H2-CONDUCTORES DE BT'!$D$2:$BL$155,23,FALSE)="BANDEJA",1,IF(VLOOKUP(D27,'H2-CONDUCTORES DE BT'!$D$2:$BL$155,24,FALSE)&lt;&gt;3,IF(((VLOOKUP(D27,'H2-CONDUCTORES DE BT'!$D$2:$BL$155,24,FALSE))/3)=Z27,1),VLOOKUP(D27,'H2-CONDUCTORES DE BT'!$D$2:$BL$155,37,FALSE)))))</f>
        <v>#REF!</v>
      </c>
      <c r="AC27" s="343" t="e">
        <f>IF(AE27="Multiconductor","N/A",(IF((VLOOKUP(D27,'H2-CONDUCTORES DE BT'!$D$2:$BL$155,40,FALSE))="Al",IF((VLOOKUP(D27,'H2-CONDUCTORES DE BT'!$D$2:$BL$155,51,FALSE))="No",LOOKUP((VLOOKUP(D27,'H2-CONDUCTORES DE BT'!$D$2:$BL$155,16,FALSE)),CONDUCTORES!$A$111:$A$131,CONDUCTORES!$C$111:$C$131),(VLOOKUP(D27,'H2-CONDUCTORES DE BT'!$D$2:$BL$155,51,FALSE))),IF((VLOOKUP(D27,'H2-CONDUCTORES DE BT'!$D$2:$BL$155,51,FALSE))="No",LOOKUP((VLOOKUP(D27,'H2-CONDUCTORES DE BT'!$D$2:$BL$155,16,FALSE)),CONDUCTORES!$A$111:$A$131,CONDUCTORES!$B$111:$B$131),(VLOOKUP(D27,'H2-CONDUCTORES DE BT'!$D$2:$BL$155,51,FALSE))))))</f>
        <v>#REF!</v>
      </c>
      <c r="AD27" s="340">
        <f t="shared" si="10"/>
        <v>2</v>
      </c>
      <c r="AE27" s="464" t="e">
        <f>+VLOOKUP(D27,'H2-CONDUCTORES DE BT'!$D$2:$BL$155,38,FALSE)</f>
        <v>#REF!</v>
      </c>
      <c r="AF27" s="531" t="e">
        <f>IF(AE27="Monopolar","N/A",VLOOKUP(D27,'H2-CONDUCTORES DE BT'!$D$2:$BL$192,39,FALSE))</f>
        <v>#REF!</v>
      </c>
      <c r="AG27" s="437" t="e">
        <f>+VLOOKUP(D27,'H2-CONDUCTORES DE BT'!$D$2:$CL$492,70,FALSE)</f>
        <v>#REF!</v>
      </c>
      <c r="AH27" s="434" t="e">
        <f>(VLOOKUP(AG27,CONDUCTORES!$A$9:$G$62,6,FALSE))*(Z27)</f>
        <v>#REF!</v>
      </c>
      <c r="AI27" s="434" t="e">
        <f t="shared" si="11"/>
        <v>#REF!</v>
      </c>
      <c r="AJ27" s="434" t="e">
        <f>+IF(U27=1,"N/A",IF((AI27/U27)&lt;CONDUCTORES!$F$9,CONDUCTORES!$F$9,IF((AI27/U27)&lt;CONDUCTORES!$F$10,CONDUCTORES!$F$10,IF((AI27/U27)&lt;CONDUCTORES!$F$11,CONDUCTORES!$F$11,IF((AI27/U27)&lt;CONDUCTORES!$F$12,CONDUCTORES!$F$12,IF((AI27/U27)&lt;CONDUCTORES!$F$13,CONDUCTORES!$F$13,IF((AI27/U27)&lt;CONDUCTORES!$F$14,CONDUCTORES!$F$14,IF((AI27/U27)&lt;CONDUCTORES!$F$15,CONDUCTORES!$F$15,IF((AI27/U27)&lt;CONDUCTORES!$F$16,CONDUCTORES!$F$16,IF((AI27/U27)&lt;CONDUCTORES!$F$17,CONDUCTORES!$F$17,IF((AI27/U27)&lt;CONDUCTORES!$F$18,CONDUCTORES!$F$18,IF((AI27/U27)&lt;CONDUCTORES!$F$19,CONDUCTORES!$F$19,IF((AI27/U27)&lt;CONDUCTORES!$F$20,CONDUCTORES!$F$20,IF((AI27/U27)&lt;CONDUCTORES!$F$21,CONDUCTORES!$F$21,IF((AI27/U27)&lt;CONDUCTORES!$F$22,CONDUCTORES!$F$22,CONDUCTORES!$F$23)))))))))))))))</f>
        <v>#REF!</v>
      </c>
      <c r="AK27" s="434" t="e">
        <f>IF(AF27="2/C  -",IF(AI27&lt;CONDUCTORES!$F$33,CONDUCTORES!$F$33,IF(AI27&lt;CONDUCTORES!$F$36,CONDUCTORES!$F$36,IF(AI27&lt;CONDUCTORES!$F$39,CONDUCTORES!$F$39,IF(AI27&lt;CONDUCTORES!$F$42,CONDUCTORES!$F$42,IF(AI27&lt;CONDUCTORES!$F$45,CONDUCTORES!$F$45,IF(AI27&lt;CONDUCTORES!$F$48,CONDUCTORES!$F$48,IF(AI27&lt;CONDUCTORES!$F$51,CONDUCTORES!$F$51,IF(AI27&lt;CONDUCTORES!$F$54,CONDUCTORES!$F$54,IF(AI27&lt;CONDUCTORES!$F$57,CONDUCTORES!$F$57,CONDUCTORES!$F$60))))))))),0)</f>
        <v>#REF!</v>
      </c>
      <c r="AL27" s="434" t="e">
        <f>IF(AF27="3/C  -",IF(AI27&lt;CONDUCTORES!$F$34,CONDUCTORES!$F$34,IF(AI27&lt;CONDUCTORES!$F$37,CONDUCTORES!$F$37,IF(AI27&lt;CONDUCTORES!$F$40,CONDUCTORES!$F$40,IF(AI27&lt;CONDUCTORES!$F$43,CONDUCTORES!$F$43,IF(AI27&lt;CONDUCTORES!$F$46,CONDUCTORES!$F$46,IF(AI27&lt;CONDUCTORES!$F$49,CONDUCTORES!$F$49,IF(AI27&lt;CONDUCTORES!$F$52,CONDUCTORES!$F$52,IF(AI27&lt;CONDUCTORES!$F$55,CONDUCTORES!$F$55,IF(AI27&lt;CONDUCTORES!$F$58,CONDUCTORES!$F$58,CONDUCTORES!$F$61))))))))),0)</f>
        <v>#REF!</v>
      </c>
      <c r="AM27" s="434" t="e">
        <f>IF(AF27="4/C  -",IF(AI27&lt;CONDUCTORES!$F$35,CONDUCTORES!$F$35,IF(AI27&lt;CONDUCTORES!$F$38,CONDUCTORES!$F$38,IF(AI27&lt;CONDUCTORES!$F$41,CONDUCTORES!$F$41,IF(AI27&lt;CONDUCTORES!$F$44,CONDUCTORES!$F$44,IF(AI27&lt;CONDUCTORES!$F$47,CONDUCTORES!$F$47,IF(AI27&lt;CONDUCTORES!$F$50,CONDUCTORES!$F$50,IF(AI27&lt;CONDUCTORES!$F$53,CONDUCTORES!$F$53,IF(AI27&lt;CONDUCTORES!$F$56,CONDUCTORES!$F$56,IF(AI27&lt;CONDUCTORES!$F$59,CONDUCTORES!$F$59,CONDUCTORES!$F$62))))))))),0)</f>
        <v>#REF!</v>
      </c>
      <c r="AN27" s="436" t="e">
        <f>IF(AE27="Multiconductor",IF(AF27="2/C  -",AK27,IF(AF27="3/C  -",AL27,IF(AF27="4/C  -",AM27,"NO SE CÁLCULO, REVISAR"))),IF(AI27&lt;CONDUCTORES!$F$9,CONDUCTORES!$F$9,IF(AI27&lt;CONDUCTORES!$F$10,CONDUCTORES!$F$10,IF(AI27&lt;CONDUCTORES!$F$11,CONDUCTORES!$F$11,IF(AI27&lt;CONDUCTORES!$F$12,CONDUCTORES!$F$12,IF(AI27&lt;CONDUCTORES!$F$13,CONDUCTORES!$F$13,IF(AI27&lt;CONDUCTORES!$F$14,CONDUCTORES!$F$14,IF(AI27&lt;CONDUCTORES!$F$15,CONDUCTORES!$F$15,IF(AI27&lt;CONDUCTORES!$F$16,CONDUCTORES!$F$16,IF(AI27&lt;CONDUCTORES!$F$17,CONDUCTORES!$F$17,IF(AI27&lt;CONDUCTORES!$F$18,CONDUCTORES!$F$18,IF(AI27&lt;CONDUCTORES!$F$19,CONDUCTORES!$F$19,IF(AI27&lt;CONDUCTORES!$F$20,CONDUCTORES!$F$20,IF(AI27&lt;CONDUCTORES!$F$21,CONDUCTORES!$F$21,IF(AI27&lt;CONDUCTORES!$F$22,CONDUCTORES!$F$22,CONDUCTORES!$F$23)))))))))))))))</f>
        <v>#REF!</v>
      </c>
      <c r="AO27" s="1197" t="str">
        <f t="shared" si="12"/>
        <v>250 kcmil</v>
      </c>
      <c r="AP27" s="1196" t="e" cm="1">
        <f t="array" ref="AP27">IF(AE27="Multiconductor",INDEX(CONDUCTORES!$A$24:$A$62,MATCH(1,(CONDUCTORES!$B$24:$B$62=AO27)*(CONDUCTORES!$C$24:$C$62=AF27),0)),VLOOKUP(AO27,CONDUCTORES!$B$9:$X$23,23,FALSE))</f>
        <v>#REF!</v>
      </c>
      <c r="AQ27" s="1197" t="str">
        <f t="shared" si="13"/>
        <v>500 kcmil</v>
      </c>
      <c r="AR27" s="437" t="e" cm="1">
        <f t="array" ref="AR27">IF(AE27="Multiconductor",INDEX(CONDUCTORES!$A$24:$A$62,MATCH(1,(CONDUCTORES!$B$24:$B$62=AQ27)*(CONDUCTORES!$C$24:$C$62=AF27),0)),VLOOKUP(AQ27,CONDUCTORES!$B$9:$X$23,23,FALSE))</f>
        <v>#REF!</v>
      </c>
      <c r="AS27" s="438" t="e">
        <f t="shared" si="14"/>
        <v>#REF!</v>
      </c>
      <c r="AT27" s="1195" t="e">
        <f t="shared" si="1"/>
        <v>#REF!</v>
      </c>
      <c r="AU27" s="439">
        <f t="shared" si="2"/>
        <v>3.03E-8</v>
      </c>
      <c r="AV27" s="437" t="e">
        <f t="shared" si="15"/>
        <v>#REF!</v>
      </c>
      <c r="AW27" s="440" t="e">
        <f>VLOOKUP(AG27,COSTOS!$A$7:$Z$94,7,FALSE)</f>
        <v>#REF!</v>
      </c>
      <c r="AX27" s="437" t="e">
        <f>((2.5)/(18*LN((VLOOKUP(O27,CONDUCTORES!$B$9:$AF$23,24,FALSE))/(VLOOKUP(O27,CONDUCTORES!$B$9:$D$23,3,FALSE)))))*-0.000000001</f>
        <v>#REF!</v>
      </c>
      <c r="AY27" s="437" t="e">
        <f t="shared" si="16"/>
        <v>#REF!</v>
      </c>
      <c r="AZ27" s="437" t="e">
        <f>(0.12)*(5000)*(LN((VLOOKUP(O27,CONDUCTORES!$B$9:$AF$23,24,FALSE))/(VLOOKUP(O27,CONDUCTORES!$B$9:$D$23,3,FALSE))))</f>
        <v>#REF!</v>
      </c>
      <c r="BA27" s="437" t="e">
        <f>+($AW$3)-(((K27^2)*(VLOOKUP(O27,CONDUCTORES!$B$9:$K$23,7,FALSE)))+(0.5*AY27))*(AZ27)</f>
        <v>#REF!</v>
      </c>
      <c r="BB27" s="441" t="e">
        <f t="shared" si="17"/>
        <v>#REF!</v>
      </c>
      <c r="BC27" s="437" t="e">
        <f>+SQRT(((8*PI()*60)/(VLOOKUP(O27,CONDUCTORES!$B$9:$K$23,9,FALSE)))*(0.0000001)*(1))</f>
        <v>#REF!</v>
      </c>
      <c r="BD27" s="437" t="e">
        <f>+SQRT(((8*PI()*60)/(VLOOKUP(O27,CONDUCTORES!$B$9:$K$23,9,FALSE)))*(0.0000001)*(1))</f>
        <v>#REF!</v>
      </c>
      <c r="BE27" s="442" t="e">
        <f>((BD27^4)/((192)+((0.8)*(BD27^4))))*(((VLOOKUP(O27,CONDUCTORES!$B$9:$K$23,9,FALSE))/(1))^2)*(2.9)</f>
        <v>#REF!</v>
      </c>
      <c r="BF27" s="442" t="e">
        <f t="shared" si="18"/>
        <v>#REF!</v>
      </c>
      <c r="BG27" s="437" t="e">
        <f t="shared" si="19"/>
        <v>#REF!</v>
      </c>
      <c r="BH27" s="437">
        <v>0</v>
      </c>
      <c r="BI27" s="434" t="e">
        <f>(IF(AE27="Multiconductor",VLOOKUP(AP27,CONDUCTORES!$A$24:$G$62,6,FALSE),VLOOKUP(AO27,CONDUCTORES!$B$9:$F$23,5,FALSE)))*(U27)</f>
        <v>#REF!</v>
      </c>
      <c r="BJ27" s="434" t="e">
        <f>(IF(AE27="Multiconductor",VLOOKUP(AR27,CONDUCTORES!$A$24:$G$62,6,FALSE),VLOOKUP(AQ27,CONDUCTORES!$B$9:$F$23,5,FALSE)))*(U27)</f>
        <v>#REF!</v>
      </c>
      <c r="BK27" s="1194" t="e">
        <f t="shared" si="20"/>
        <v>#REF!</v>
      </c>
      <c r="BL27" s="443" t="e">
        <f t="shared" si="21"/>
        <v>#REF!</v>
      </c>
      <c r="BM27" s="443" t="e">
        <f t="shared" si="22"/>
        <v>#REF!</v>
      </c>
      <c r="BN27" s="1192" t="e">
        <f t="shared" si="23"/>
        <v>#REF!</v>
      </c>
      <c r="BO27" s="1198" t="e">
        <f t="shared" si="24"/>
        <v>#REF!</v>
      </c>
      <c r="BP27" s="444" t="e">
        <f t="shared" si="25"/>
        <v>#REF!</v>
      </c>
      <c r="BQ27" s="1193" t="e">
        <f>VLOOKUP(AP27,COSTOS!$A$7:$I$60,4,FALSE)</f>
        <v>#REF!</v>
      </c>
      <c r="BR27" s="1193" t="e">
        <f>VLOOKUP(AP27,COSTOS!$A$7:$I$60,5,FALSE)</f>
        <v>#REF!</v>
      </c>
      <c r="BS27" s="1193" t="e">
        <f t="shared" si="26"/>
        <v>#REF!</v>
      </c>
      <c r="BT27" s="1192" t="e">
        <f t="shared" si="27"/>
        <v>#REF!</v>
      </c>
      <c r="BU27" s="444" t="e">
        <f>VLOOKUP(AR27,COSTOS!$A$7:$I$60,4,FALSE)</f>
        <v>#REF!</v>
      </c>
      <c r="BV27" s="444" t="e">
        <f>VLOOKUP(AR27,COSTOS!$A$7:$I$60,5,FALSE)</f>
        <v>#REF!</v>
      </c>
      <c r="BW27" s="1198" t="e">
        <f t="shared" si="28"/>
        <v>#REF!</v>
      </c>
      <c r="BX27" s="1198" t="e">
        <f t="shared" si="29"/>
        <v>#REF!</v>
      </c>
      <c r="BY27" s="444" t="e">
        <f>VLOOKUP(AG27,COSTOS!$A$7:$I$60,4,FALSE)</f>
        <v>#REF!</v>
      </c>
      <c r="BZ27" s="444" t="e">
        <f>VLOOKUP(AG27,COSTOS!$A$7:$I$60,5,FALSE)</f>
        <v>#REF!</v>
      </c>
      <c r="CA27" s="444" t="e">
        <f t="shared" si="30"/>
        <v>#REF!</v>
      </c>
      <c r="CB27" s="444" t="e">
        <f t="shared" si="31"/>
        <v>#REF!</v>
      </c>
      <c r="CC27" s="444" t="e">
        <f t="shared" si="32"/>
        <v>#REF!</v>
      </c>
      <c r="CD27" s="1198" t="e">
        <f t="shared" si="33"/>
        <v>#REF!</v>
      </c>
      <c r="CE27" s="444" t="e">
        <f t="shared" si="34"/>
        <v>#REF!</v>
      </c>
      <c r="CF27" s="445"/>
    </row>
    <row r="28" spans="2:84" s="408" customFormat="1" ht="15.6" hidden="1" x14ac:dyDescent="0.25">
      <c r="B28" s="372">
        <v>10</v>
      </c>
      <c r="C28" s="852" t="str">
        <f>+_xlfn.CONCAT($C$18,".",SUBTOTAL(103,$X$19:X28))</f>
        <v>5.2.7</v>
      </c>
      <c r="D28" s="1040" t="e">
        <f>+'H2-CONDUCTORES DE BT'!#REF!</f>
        <v>#REF!</v>
      </c>
      <c r="E28" s="1088" t="e">
        <f>+VLOOKUP(D28,'H2-CONDUCTORES DE BT'!$D$2:$BL$155,2,FALSE)</f>
        <v>#REF!</v>
      </c>
      <c r="F28" s="1160" t="e">
        <f>+VLOOKUP(D28,'H2-CONDUCTORES DE BT'!$D$2:$BL$155,6,FALSE)</f>
        <v>#REF!</v>
      </c>
      <c r="G28" s="1093" t="e">
        <f>+VLOOKUP(D28,'H2-CONDUCTORES DE BT'!$D$2:$BL$155,7,FALSE)</f>
        <v>#REF!</v>
      </c>
      <c r="H28" s="1161" t="e">
        <f>+VLOOKUP(D28,'H2-CONDUCTORES DE BT'!$D$2:$BL$155,8,FALSE)</f>
        <v>#REF!</v>
      </c>
      <c r="I28" s="1093" t="e">
        <f>+VLOOKUP(D28,'H2-CONDUCTORES DE BT'!$D$2:$BL$155,9,FALSE)</f>
        <v>#REF!</v>
      </c>
      <c r="J28" s="1162" t="e">
        <f>+VLOOKUP(D28,'H2-CONDUCTORES DE BT'!$D$2:$BL$155,10,FALSE)</f>
        <v>#REF!</v>
      </c>
      <c r="K28" s="1163" t="e">
        <f>+VLOOKUP(D28,'H2-CONDUCTORES DE BT'!$D$2:$BL$155,28,FALSE)</f>
        <v>#REF!</v>
      </c>
      <c r="L28" s="1164" t="e">
        <f>+VLOOKUP(D28,'H2-CONDUCTORES DE BT'!$D$2:$BL$155,11,FALSE)</f>
        <v>#REF!</v>
      </c>
      <c r="M28" s="1063" t="e">
        <f>+VLOOKUP(D28,'H2-CONDUCTORES DE BT'!$D$2:$BL$155,4,FALSE)</f>
        <v>#REF!</v>
      </c>
      <c r="N28" s="1165" t="e">
        <f t="shared" si="35"/>
        <v>#REF!</v>
      </c>
      <c r="O28" s="1055" t="e">
        <f>IF(VLOOKUP(D28,'H2-CONDUCTORES DE BT'!$D$2:$BL$155,57,FALSE)="Al",VLOOKUP(D28,'H2-CONDUCTORES DE BT'!$D$2:$BL$155,55,FALSE),VLOOKUP(D28,'H2-CONDUCTORES DE BT'!$D$2:$BL$155,36,FALSE))</f>
        <v>#REF!</v>
      </c>
      <c r="P28" s="1091" t="e">
        <f t="shared" si="36"/>
        <v>#REF!</v>
      </c>
      <c r="Q28" s="1166"/>
      <c r="R28" s="1155" t="e">
        <f t="shared" si="5"/>
        <v>#REF!</v>
      </c>
      <c r="S28" s="1155" t="e">
        <f t="shared" si="6"/>
        <v>#REF!</v>
      </c>
      <c r="T28" s="1155" t="e">
        <f t="shared" si="7"/>
        <v>#REF!</v>
      </c>
      <c r="U28" s="1159">
        <v>9</v>
      </c>
      <c r="V28" s="1158" t="s">
        <v>964</v>
      </c>
      <c r="W28" s="1159">
        <v>2</v>
      </c>
      <c r="X28" s="1158" t="s">
        <v>966</v>
      </c>
      <c r="Y28" s="1168" t="e">
        <f t="shared" si="37"/>
        <v>#REF!</v>
      </c>
      <c r="Z28" s="499" t="e">
        <f>+VLOOKUP(D28,'H2-CONDUCTORES DE BT'!$D$2:$BL$155,37,FALSE)</f>
        <v>#REF!</v>
      </c>
      <c r="AA28" s="343" t="e">
        <f>+VLOOKUP(D28,'H2-CONDUCTORES DE BT'!$D$2:$BL$155,55,FALSE)</f>
        <v>#REF!</v>
      </c>
      <c r="AB28" s="343" t="e">
        <f>IF(AE28="Multiconductor","N/A",IF(VLOOKUP(D28,'H2-CONDUCTORES DE BT'!$D$2:$BL$155,50,FALSE)&lt;&gt;1,VLOOKUP(D28,'H2-CONDUCTORES DE BT'!$D$2:$BL$155,50,FALSE),IF(VLOOKUP(D28,'H2-CONDUCTORES DE BT'!$D$2:$BL$155,23,FALSE)="BANDEJA",1,IF(VLOOKUP(D28,'H2-CONDUCTORES DE BT'!$D$2:$BL$155,24,FALSE)&lt;&gt;3,IF(((VLOOKUP(D28,'H2-CONDUCTORES DE BT'!$D$2:$BL$155,24,FALSE))/3)=Z28,1),VLOOKUP(D28,'H2-CONDUCTORES DE BT'!$D$2:$BL$155,37,FALSE)))))</f>
        <v>#REF!</v>
      </c>
      <c r="AC28" s="343" t="e">
        <f>IF(AE28="Multiconductor","N/A",(IF((VLOOKUP(D28,'H2-CONDUCTORES DE BT'!$D$2:$BL$155,40,FALSE))="Al",IF((VLOOKUP(D28,'H2-CONDUCTORES DE BT'!$D$2:$BL$155,51,FALSE))="No",LOOKUP((VLOOKUP(D28,'H2-CONDUCTORES DE BT'!$D$2:$BL$155,16,FALSE)),CONDUCTORES!$A$111:$A$131,CONDUCTORES!$C$111:$C$131),(VLOOKUP(D28,'H2-CONDUCTORES DE BT'!$D$2:$BL$155,51,FALSE))),IF((VLOOKUP(D28,'H2-CONDUCTORES DE BT'!$D$2:$BL$155,51,FALSE))="No",LOOKUP((VLOOKUP(D28,'H2-CONDUCTORES DE BT'!$D$2:$BL$155,16,FALSE)),CONDUCTORES!$A$111:$A$131,CONDUCTORES!$B$111:$B$131),(VLOOKUP(D28,'H2-CONDUCTORES DE BT'!$D$2:$BL$155,51,FALSE))))))</f>
        <v>#REF!</v>
      </c>
      <c r="AD28" s="340">
        <f t="shared" si="10"/>
        <v>2</v>
      </c>
      <c r="AE28" s="464" t="e">
        <f>+VLOOKUP(D28,'H2-CONDUCTORES DE BT'!$D$2:$BL$155,38,FALSE)</f>
        <v>#REF!</v>
      </c>
      <c r="AF28" s="531" t="e">
        <f>IF(AE28="Monopolar","N/A",VLOOKUP(D28,'H2-CONDUCTORES DE BT'!$D$2:$BL$192,39,FALSE))</f>
        <v>#REF!</v>
      </c>
      <c r="AG28" s="437" t="e">
        <f>+VLOOKUP(D28,'H2-CONDUCTORES DE BT'!$D$2:$CL$492,70,FALSE)</f>
        <v>#REF!</v>
      </c>
      <c r="AH28" s="434" t="e">
        <f>(VLOOKUP(AG28,CONDUCTORES!$A$9:$G$62,6,FALSE))*(Z28)</f>
        <v>#REF!</v>
      </c>
      <c r="AI28" s="434" t="e">
        <f t="shared" si="11"/>
        <v>#REF!</v>
      </c>
      <c r="AJ28" s="434" t="e">
        <f>+IF(U28=1,"N/A",IF((AI28/U28)&lt;CONDUCTORES!$F$9,CONDUCTORES!$F$9,IF((AI28/U28)&lt;CONDUCTORES!$F$10,CONDUCTORES!$F$10,IF((AI28/U28)&lt;CONDUCTORES!$F$11,CONDUCTORES!$F$11,IF((AI28/U28)&lt;CONDUCTORES!$F$12,CONDUCTORES!$F$12,IF((AI28/U28)&lt;CONDUCTORES!$F$13,CONDUCTORES!$F$13,IF((AI28/U28)&lt;CONDUCTORES!$F$14,CONDUCTORES!$F$14,IF((AI28/U28)&lt;CONDUCTORES!$F$15,CONDUCTORES!$F$15,IF((AI28/U28)&lt;CONDUCTORES!$F$16,CONDUCTORES!$F$16,IF((AI28/U28)&lt;CONDUCTORES!$F$17,CONDUCTORES!$F$17,IF((AI28/U28)&lt;CONDUCTORES!$F$18,CONDUCTORES!$F$18,IF((AI28/U28)&lt;CONDUCTORES!$F$19,CONDUCTORES!$F$19,IF((AI28/U28)&lt;CONDUCTORES!$F$20,CONDUCTORES!$F$20,IF((AI28/U28)&lt;CONDUCTORES!$F$21,CONDUCTORES!$F$21,IF((AI28/U28)&lt;CONDUCTORES!$F$22,CONDUCTORES!$F$22,CONDUCTORES!$F$23)))))))))))))))</f>
        <v>#REF!</v>
      </c>
      <c r="AK28" s="434" t="e">
        <f>IF(AF28="2/C  -",IF(AI28&lt;CONDUCTORES!$F$33,CONDUCTORES!$F$33,IF(AI28&lt;CONDUCTORES!$F$36,CONDUCTORES!$F$36,IF(AI28&lt;CONDUCTORES!$F$39,CONDUCTORES!$F$39,IF(AI28&lt;CONDUCTORES!$F$42,CONDUCTORES!$F$42,IF(AI28&lt;CONDUCTORES!$F$45,CONDUCTORES!$F$45,IF(AI28&lt;CONDUCTORES!$F$48,CONDUCTORES!$F$48,IF(AI28&lt;CONDUCTORES!$F$51,CONDUCTORES!$F$51,IF(AI28&lt;CONDUCTORES!$F$54,CONDUCTORES!$F$54,IF(AI28&lt;CONDUCTORES!$F$57,CONDUCTORES!$F$57,CONDUCTORES!$F$60))))))))),0)</f>
        <v>#REF!</v>
      </c>
      <c r="AL28" s="434" t="e">
        <f>IF(AF28="3/C  -",IF(AI28&lt;CONDUCTORES!$F$34,CONDUCTORES!$F$34,IF(AI28&lt;CONDUCTORES!$F$37,CONDUCTORES!$F$37,IF(AI28&lt;CONDUCTORES!$F$40,CONDUCTORES!$F$40,IF(AI28&lt;CONDUCTORES!$F$43,CONDUCTORES!$F$43,IF(AI28&lt;CONDUCTORES!$F$46,CONDUCTORES!$F$46,IF(AI28&lt;CONDUCTORES!$F$49,CONDUCTORES!$F$49,IF(AI28&lt;CONDUCTORES!$F$52,CONDUCTORES!$F$52,IF(AI28&lt;CONDUCTORES!$F$55,CONDUCTORES!$F$55,IF(AI28&lt;CONDUCTORES!$F$58,CONDUCTORES!$F$58,CONDUCTORES!$F$61))))))))),0)</f>
        <v>#REF!</v>
      </c>
      <c r="AM28" s="434" t="e">
        <f>IF(AF28="4/C  -",IF(AI28&lt;CONDUCTORES!$F$35,CONDUCTORES!$F$35,IF(AI28&lt;CONDUCTORES!$F$38,CONDUCTORES!$F$38,IF(AI28&lt;CONDUCTORES!$F$41,CONDUCTORES!$F$41,IF(AI28&lt;CONDUCTORES!$F$44,CONDUCTORES!$F$44,IF(AI28&lt;CONDUCTORES!$F$47,CONDUCTORES!$F$47,IF(AI28&lt;CONDUCTORES!$F$50,CONDUCTORES!$F$50,IF(AI28&lt;CONDUCTORES!$F$53,CONDUCTORES!$F$53,IF(AI28&lt;CONDUCTORES!$F$56,CONDUCTORES!$F$56,IF(AI28&lt;CONDUCTORES!$F$59,CONDUCTORES!$F$59,CONDUCTORES!$F$62))))))))),0)</f>
        <v>#REF!</v>
      </c>
      <c r="AN28" s="436" t="e">
        <f>IF(AE28="Multiconductor",IF(AF28="2/C  -",AK28,IF(AF28="3/C  -",AL28,IF(AF28="4/C  -",AM28,"NO SE CÁLCULO, REVISAR"))),IF(AI28&lt;CONDUCTORES!$F$9,CONDUCTORES!$F$9,IF(AI28&lt;CONDUCTORES!$F$10,CONDUCTORES!$F$10,IF(AI28&lt;CONDUCTORES!$F$11,CONDUCTORES!$F$11,IF(AI28&lt;CONDUCTORES!$F$12,CONDUCTORES!$F$12,IF(AI28&lt;CONDUCTORES!$F$13,CONDUCTORES!$F$13,IF(AI28&lt;CONDUCTORES!$F$14,CONDUCTORES!$F$14,IF(AI28&lt;CONDUCTORES!$F$15,CONDUCTORES!$F$15,IF(AI28&lt;CONDUCTORES!$F$16,CONDUCTORES!$F$16,IF(AI28&lt;CONDUCTORES!$F$17,CONDUCTORES!$F$17,IF(AI28&lt;CONDUCTORES!$F$18,CONDUCTORES!$F$18,IF(AI28&lt;CONDUCTORES!$F$19,CONDUCTORES!$F$19,IF(AI28&lt;CONDUCTORES!$F$20,CONDUCTORES!$F$20,IF(AI28&lt;CONDUCTORES!$F$21,CONDUCTORES!$F$21,IF(AI28&lt;CONDUCTORES!$F$22,CONDUCTORES!$F$22,CONDUCTORES!$F$23)))))))))))))))</f>
        <v>#REF!</v>
      </c>
      <c r="AO28" s="1197" t="str">
        <f t="shared" si="12"/>
        <v>250 kcmil</v>
      </c>
      <c r="AP28" s="1196" t="e" cm="1">
        <f t="array" ref="AP28">IF(AE28="Multiconductor",INDEX(CONDUCTORES!$A$24:$A$62,MATCH(1,(CONDUCTORES!$B$24:$B$62=AO28)*(CONDUCTORES!$C$24:$C$62=AF28),0)),VLOOKUP(AO28,CONDUCTORES!$B$9:$X$23,23,FALSE))</f>
        <v>#REF!</v>
      </c>
      <c r="AQ28" s="1197" t="str">
        <f t="shared" si="13"/>
        <v>500 kcmil</v>
      </c>
      <c r="AR28" s="437" t="e" cm="1">
        <f t="array" ref="AR28">IF(AE28="Multiconductor",INDEX(CONDUCTORES!$A$24:$A$62,MATCH(1,(CONDUCTORES!$B$24:$B$62=AQ28)*(CONDUCTORES!$C$24:$C$62=AF28),0)),VLOOKUP(AQ28,CONDUCTORES!$B$9:$X$23,23,FALSE))</f>
        <v>#REF!</v>
      </c>
      <c r="AS28" s="438" t="e">
        <f t="shared" si="14"/>
        <v>#REF!</v>
      </c>
      <c r="AT28" s="1195" t="e">
        <f t="shared" si="1"/>
        <v>#REF!</v>
      </c>
      <c r="AU28" s="439">
        <f t="shared" si="2"/>
        <v>3.03E-8</v>
      </c>
      <c r="AV28" s="437" t="e">
        <f t="shared" si="15"/>
        <v>#REF!</v>
      </c>
      <c r="AW28" s="440" t="e">
        <f>VLOOKUP(AG28,COSTOS!$A$7:$Z$94,7,FALSE)</f>
        <v>#REF!</v>
      </c>
      <c r="AX28" s="437" t="e">
        <f>((2.5)/(18*LN((VLOOKUP(O28,CONDUCTORES!$B$9:$AF$23,24,FALSE))/(VLOOKUP(O28,CONDUCTORES!$B$9:$D$23,3,FALSE)))))*-0.000000001</f>
        <v>#REF!</v>
      </c>
      <c r="AY28" s="437" t="e">
        <f t="shared" si="16"/>
        <v>#REF!</v>
      </c>
      <c r="AZ28" s="437" t="e">
        <f>(0.12)*(5000)*(LN((VLOOKUP(O28,CONDUCTORES!$B$9:$AF$23,24,FALSE))/(VLOOKUP(O28,CONDUCTORES!$B$9:$D$23,3,FALSE))))</f>
        <v>#REF!</v>
      </c>
      <c r="BA28" s="437" t="e">
        <f>+($AW$3)-(((K28^2)*(VLOOKUP(O28,CONDUCTORES!$B$9:$K$23,7,FALSE)))+(0.5*AY28))*(AZ28)</f>
        <v>#REF!</v>
      </c>
      <c r="BB28" s="441" t="e">
        <f t="shared" si="17"/>
        <v>#REF!</v>
      </c>
      <c r="BC28" s="437" t="e">
        <f>+SQRT(((8*PI()*60)/(VLOOKUP(O28,CONDUCTORES!$B$9:$K$23,9,FALSE)))*(0.0000001)*(1))</f>
        <v>#REF!</v>
      </c>
      <c r="BD28" s="437" t="e">
        <f>+SQRT(((8*PI()*60)/(VLOOKUP(O28,CONDUCTORES!$B$9:$K$23,9,FALSE)))*(0.0000001)*(1))</f>
        <v>#REF!</v>
      </c>
      <c r="BE28" s="442" t="e">
        <f>((BD28^4)/((192)+((0.8)*(BD28^4))))*(((VLOOKUP(O28,CONDUCTORES!$B$9:$K$23,9,FALSE))/(1))^2)*(2.9)</f>
        <v>#REF!</v>
      </c>
      <c r="BF28" s="442" t="e">
        <f t="shared" si="18"/>
        <v>#REF!</v>
      </c>
      <c r="BG28" s="437" t="e">
        <f t="shared" si="19"/>
        <v>#REF!</v>
      </c>
      <c r="BH28" s="437">
        <v>0</v>
      </c>
      <c r="BI28" s="434" t="e">
        <f>(IF(AE28="Multiconductor",VLOOKUP(AP28,CONDUCTORES!$A$24:$G$62,6,FALSE),VLOOKUP(AO28,CONDUCTORES!$B$9:$F$23,5,FALSE)))*(U28)</f>
        <v>#REF!</v>
      </c>
      <c r="BJ28" s="434" t="e">
        <f>(IF(AE28="Multiconductor",VLOOKUP(AR28,CONDUCTORES!$A$24:$G$62,6,FALSE),VLOOKUP(AQ28,CONDUCTORES!$B$9:$F$23,5,FALSE)))*(U28)</f>
        <v>#REF!</v>
      </c>
      <c r="BK28" s="1194" t="e">
        <f t="shared" si="20"/>
        <v>#REF!</v>
      </c>
      <c r="BL28" s="443" t="e">
        <f t="shared" si="21"/>
        <v>#REF!</v>
      </c>
      <c r="BM28" s="443" t="e">
        <f t="shared" si="22"/>
        <v>#REF!</v>
      </c>
      <c r="BN28" s="1192" t="e">
        <f t="shared" si="23"/>
        <v>#REF!</v>
      </c>
      <c r="BO28" s="1198" t="e">
        <f t="shared" si="24"/>
        <v>#REF!</v>
      </c>
      <c r="BP28" s="444" t="e">
        <f t="shared" si="25"/>
        <v>#REF!</v>
      </c>
      <c r="BQ28" s="1193" t="e">
        <f>VLOOKUP(AP28,COSTOS!$A$7:$I$60,4,FALSE)</f>
        <v>#REF!</v>
      </c>
      <c r="BR28" s="1193" t="e">
        <f>VLOOKUP(AP28,COSTOS!$A$7:$I$60,5,FALSE)</f>
        <v>#REF!</v>
      </c>
      <c r="BS28" s="1193" t="e">
        <f t="shared" si="26"/>
        <v>#REF!</v>
      </c>
      <c r="BT28" s="1192" t="e">
        <f t="shared" si="27"/>
        <v>#REF!</v>
      </c>
      <c r="BU28" s="444" t="e">
        <f>VLOOKUP(AR28,COSTOS!$A$7:$I$60,4,FALSE)</f>
        <v>#REF!</v>
      </c>
      <c r="BV28" s="444" t="e">
        <f>VLOOKUP(AR28,COSTOS!$A$7:$I$60,5,FALSE)</f>
        <v>#REF!</v>
      </c>
      <c r="BW28" s="1198" t="e">
        <f t="shared" si="28"/>
        <v>#REF!</v>
      </c>
      <c r="BX28" s="1198" t="e">
        <f t="shared" si="29"/>
        <v>#REF!</v>
      </c>
      <c r="BY28" s="444" t="e">
        <f>VLOOKUP(AG28,COSTOS!$A$7:$I$60,4,FALSE)</f>
        <v>#REF!</v>
      </c>
      <c r="BZ28" s="444" t="e">
        <f>VLOOKUP(AG28,COSTOS!$A$7:$I$60,5,FALSE)</f>
        <v>#REF!</v>
      </c>
      <c r="CA28" s="444" t="e">
        <f t="shared" si="30"/>
        <v>#REF!</v>
      </c>
      <c r="CB28" s="444" t="e">
        <f t="shared" si="31"/>
        <v>#REF!</v>
      </c>
      <c r="CC28" s="444" t="e">
        <f t="shared" si="32"/>
        <v>#REF!</v>
      </c>
      <c r="CD28" s="1198" t="e">
        <f t="shared" si="33"/>
        <v>#REF!</v>
      </c>
      <c r="CE28" s="444" t="e">
        <f t="shared" si="34"/>
        <v>#REF!</v>
      </c>
      <c r="CF28" s="445"/>
    </row>
    <row r="29" spans="2:84" s="408" customFormat="1" ht="15.6" hidden="1" x14ac:dyDescent="0.25">
      <c r="B29" s="372">
        <v>10</v>
      </c>
      <c r="C29" s="852" t="str">
        <f>+_xlfn.CONCAT($C$18,".",SUBTOTAL(103,$X$19:X29))</f>
        <v>5.2.7</v>
      </c>
      <c r="D29" s="1040" t="e">
        <f>+'H2-CONDUCTORES DE BT'!#REF!</f>
        <v>#REF!</v>
      </c>
      <c r="E29" s="1088" t="e">
        <f>+VLOOKUP(D29,'H2-CONDUCTORES DE BT'!$D$2:$BL$155,2,FALSE)</f>
        <v>#REF!</v>
      </c>
      <c r="F29" s="1160" t="e">
        <f>+VLOOKUP(D29,'H2-CONDUCTORES DE BT'!$D$2:$BL$155,6,FALSE)</f>
        <v>#REF!</v>
      </c>
      <c r="G29" s="1093" t="e">
        <f>+VLOOKUP(D29,'H2-CONDUCTORES DE BT'!$D$2:$BL$155,7,FALSE)</f>
        <v>#REF!</v>
      </c>
      <c r="H29" s="1161" t="e">
        <f>+VLOOKUP(D29,'H2-CONDUCTORES DE BT'!$D$2:$BL$155,8,FALSE)</f>
        <v>#REF!</v>
      </c>
      <c r="I29" s="1093" t="e">
        <f>+VLOOKUP(D29,'H2-CONDUCTORES DE BT'!$D$2:$BL$155,9,FALSE)</f>
        <v>#REF!</v>
      </c>
      <c r="J29" s="1162" t="e">
        <f>+VLOOKUP(D29,'H2-CONDUCTORES DE BT'!$D$2:$BL$155,10,FALSE)</f>
        <v>#REF!</v>
      </c>
      <c r="K29" s="1163" t="e">
        <f>+VLOOKUP(D29,'H2-CONDUCTORES DE BT'!$D$2:$BL$155,28,FALSE)</f>
        <v>#REF!</v>
      </c>
      <c r="L29" s="1164" t="e">
        <f>+VLOOKUP(D29,'H2-CONDUCTORES DE BT'!$D$2:$BL$155,11,FALSE)</f>
        <v>#REF!</v>
      </c>
      <c r="M29" s="1063" t="e">
        <f>+VLOOKUP(D29,'H2-CONDUCTORES DE BT'!$D$2:$BL$155,4,FALSE)</f>
        <v>#REF!</v>
      </c>
      <c r="N29" s="1165" t="e">
        <f t="shared" si="35"/>
        <v>#REF!</v>
      </c>
      <c r="O29" s="1055" t="e">
        <f>IF(VLOOKUP(D29,'H2-CONDUCTORES DE BT'!$D$2:$BL$155,57,FALSE)="Al",VLOOKUP(D29,'H2-CONDUCTORES DE BT'!$D$2:$BL$155,55,FALSE),VLOOKUP(D29,'H2-CONDUCTORES DE BT'!$D$2:$BL$155,36,FALSE))</f>
        <v>#REF!</v>
      </c>
      <c r="P29" s="1091" t="e">
        <f t="shared" si="36"/>
        <v>#REF!</v>
      </c>
      <c r="Q29" s="1166"/>
      <c r="R29" s="1155" t="e">
        <f t="shared" si="5"/>
        <v>#REF!</v>
      </c>
      <c r="S29" s="1155" t="e">
        <f t="shared" si="6"/>
        <v>#REF!</v>
      </c>
      <c r="T29" s="1155" t="e">
        <f t="shared" si="7"/>
        <v>#REF!</v>
      </c>
      <c r="U29" s="1159">
        <v>9</v>
      </c>
      <c r="V29" s="1158" t="s">
        <v>964</v>
      </c>
      <c r="W29" s="1159">
        <v>2</v>
      </c>
      <c r="X29" s="1158" t="s">
        <v>966</v>
      </c>
      <c r="Y29" s="1168" t="e">
        <f t="shared" si="37"/>
        <v>#REF!</v>
      </c>
      <c r="Z29" s="499" t="e">
        <f>+VLOOKUP(D29,'H2-CONDUCTORES DE BT'!$D$2:$BL$155,37,FALSE)</f>
        <v>#REF!</v>
      </c>
      <c r="AA29" s="343" t="e">
        <f>+VLOOKUP(D29,'H2-CONDUCTORES DE BT'!$D$2:$BL$155,55,FALSE)</f>
        <v>#REF!</v>
      </c>
      <c r="AB29" s="343" t="e">
        <f>IF(AE29="Multiconductor","N/A",IF(VLOOKUP(D29,'H2-CONDUCTORES DE BT'!$D$2:$BL$155,50,FALSE)&lt;&gt;1,VLOOKUP(D29,'H2-CONDUCTORES DE BT'!$D$2:$BL$155,50,FALSE),IF(VLOOKUP(D29,'H2-CONDUCTORES DE BT'!$D$2:$BL$155,23,FALSE)="BANDEJA",1,IF(VLOOKUP(D29,'H2-CONDUCTORES DE BT'!$D$2:$BL$155,24,FALSE)&lt;&gt;3,IF(((VLOOKUP(D29,'H2-CONDUCTORES DE BT'!$D$2:$BL$155,24,FALSE))/3)=Z29,1),VLOOKUP(D29,'H2-CONDUCTORES DE BT'!$D$2:$BL$155,37,FALSE)))))</f>
        <v>#REF!</v>
      </c>
      <c r="AC29" s="343" t="e">
        <f>IF(AE29="Multiconductor","N/A",(IF((VLOOKUP(D29,'H2-CONDUCTORES DE BT'!$D$2:$BL$155,40,FALSE))="Al",IF((VLOOKUP(D29,'H2-CONDUCTORES DE BT'!$D$2:$BL$155,51,FALSE))="No",LOOKUP((VLOOKUP(D29,'H2-CONDUCTORES DE BT'!$D$2:$BL$155,16,FALSE)),CONDUCTORES!$A$111:$A$131,CONDUCTORES!$C$111:$C$131),(VLOOKUP(D29,'H2-CONDUCTORES DE BT'!$D$2:$BL$155,51,FALSE))),IF((VLOOKUP(D29,'H2-CONDUCTORES DE BT'!$D$2:$BL$155,51,FALSE))="No",LOOKUP((VLOOKUP(D29,'H2-CONDUCTORES DE BT'!$D$2:$BL$155,16,FALSE)),CONDUCTORES!$A$111:$A$131,CONDUCTORES!$B$111:$B$131),(VLOOKUP(D29,'H2-CONDUCTORES DE BT'!$D$2:$BL$155,51,FALSE))))))</f>
        <v>#REF!</v>
      </c>
      <c r="AD29" s="340">
        <f t="shared" si="10"/>
        <v>2</v>
      </c>
      <c r="AE29" s="464" t="e">
        <f>+VLOOKUP(D29,'H2-CONDUCTORES DE BT'!$D$2:$BL$155,38,FALSE)</f>
        <v>#REF!</v>
      </c>
      <c r="AF29" s="531" t="e">
        <f>IF(AE29="Monopolar","N/A",VLOOKUP(D29,'H2-CONDUCTORES DE BT'!$D$2:$BL$192,39,FALSE))</f>
        <v>#REF!</v>
      </c>
      <c r="AG29" s="437" t="e">
        <f>+VLOOKUP(D29,'H2-CONDUCTORES DE BT'!$D$2:$CL$492,70,FALSE)</f>
        <v>#REF!</v>
      </c>
      <c r="AH29" s="434" t="e">
        <f>(VLOOKUP(AG29,CONDUCTORES!$A$9:$G$62,6,FALSE))*(Z29)</f>
        <v>#REF!</v>
      </c>
      <c r="AI29" s="434" t="e">
        <f t="shared" si="11"/>
        <v>#REF!</v>
      </c>
      <c r="AJ29" s="434" t="e">
        <f>+IF(U29=1,"N/A",IF((AI29/U29)&lt;CONDUCTORES!$F$9,CONDUCTORES!$F$9,IF((AI29/U29)&lt;CONDUCTORES!$F$10,CONDUCTORES!$F$10,IF((AI29/U29)&lt;CONDUCTORES!$F$11,CONDUCTORES!$F$11,IF((AI29/U29)&lt;CONDUCTORES!$F$12,CONDUCTORES!$F$12,IF((AI29/U29)&lt;CONDUCTORES!$F$13,CONDUCTORES!$F$13,IF((AI29/U29)&lt;CONDUCTORES!$F$14,CONDUCTORES!$F$14,IF((AI29/U29)&lt;CONDUCTORES!$F$15,CONDUCTORES!$F$15,IF((AI29/U29)&lt;CONDUCTORES!$F$16,CONDUCTORES!$F$16,IF((AI29/U29)&lt;CONDUCTORES!$F$17,CONDUCTORES!$F$17,IF((AI29/U29)&lt;CONDUCTORES!$F$18,CONDUCTORES!$F$18,IF((AI29/U29)&lt;CONDUCTORES!$F$19,CONDUCTORES!$F$19,IF((AI29/U29)&lt;CONDUCTORES!$F$20,CONDUCTORES!$F$20,IF((AI29/U29)&lt;CONDUCTORES!$F$21,CONDUCTORES!$F$21,IF((AI29/U29)&lt;CONDUCTORES!$F$22,CONDUCTORES!$F$22,CONDUCTORES!$F$23)))))))))))))))</f>
        <v>#REF!</v>
      </c>
      <c r="AK29" s="434" t="e">
        <f>IF(AF29="2/C  -",IF(AI29&lt;CONDUCTORES!$F$33,CONDUCTORES!$F$33,IF(AI29&lt;CONDUCTORES!$F$36,CONDUCTORES!$F$36,IF(AI29&lt;CONDUCTORES!$F$39,CONDUCTORES!$F$39,IF(AI29&lt;CONDUCTORES!$F$42,CONDUCTORES!$F$42,IF(AI29&lt;CONDUCTORES!$F$45,CONDUCTORES!$F$45,IF(AI29&lt;CONDUCTORES!$F$48,CONDUCTORES!$F$48,IF(AI29&lt;CONDUCTORES!$F$51,CONDUCTORES!$F$51,IF(AI29&lt;CONDUCTORES!$F$54,CONDUCTORES!$F$54,IF(AI29&lt;CONDUCTORES!$F$57,CONDUCTORES!$F$57,CONDUCTORES!$F$60))))))))),0)</f>
        <v>#REF!</v>
      </c>
      <c r="AL29" s="434" t="e">
        <f>IF(AF29="3/C  -",IF(AI29&lt;CONDUCTORES!$F$34,CONDUCTORES!$F$34,IF(AI29&lt;CONDUCTORES!$F$37,CONDUCTORES!$F$37,IF(AI29&lt;CONDUCTORES!$F$40,CONDUCTORES!$F$40,IF(AI29&lt;CONDUCTORES!$F$43,CONDUCTORES!$F$43,IF(AI29&lt;CONDUCTORES!$F$46,CONDUCTORES!$F$46,IF(AI29&lt;CONDUCTORES!$F$49,CONDUCTORES!$F$49,IF(AI29&lt;CONDUCTORES!$F$52,CONDUCTORES!$F$52,IF(AI29&lt;CONDUCTORES!$F$55,CONDUCTORES!$F$55,IF(AI29&lt;CONDUCTORES!$F$58,CONDUCTORES!$F$58,CONDUCTORES!$F$61))))))))),0)</f>
        <v>#REF!</v>
      </c>
      <c r="AM29" s="434" t="e">
        <f>IF(AF29="4/C  -",IF(AI29&lt;CONDUCTORES!$F$35,CONDUCTORES!$F$35,IF(AI29&lt;CONDUCTORES!$F$38,CONDUCTORES!$F$38,IF(AI29&lt;CONDUCTORES!$F$41,CONDUCTORES!$F$41,IF(AI29&lt;CONDUCTORES!$F$44,CONDUCTORES!$F$44,IF(AI29&lt;CONDUCTORES!$F$47,CONDUCTORES!$F$47,IF(AI29&lt;CONDUCTORES!$F$50,CONDUCTORES!$F$50,IF(AI29&lt;CONDUCTORES!$F$53,CONDUCTORES!$F$53,IF(AI29&lt;CONDUCTORES!$F$56,CONDUCTORES!$F$56,IF(AI29&lt;CONDUCTORES!$F$59,CONDUCTORES!$F$59,CONDUCTORES!$F$62))))))))),0)</f>
        <v>#REF!</v>
      </c>
      <c r="AN29" s="436" t="e">
        <f>IF(AE29="Multiconductor",IF(AF29="2/C  -",AK29,IF(AF29="3/C  -",AL29,IF(AF29="4/C  -",AM29,"NO SE CÁLCULO, REVISAR"))),IF(AI29&lt;CONDUCTORES!$F$9,CONDUCTORES!$F$9,IF(AI29&lt;CONDUCTORES!$F$10,CONDUCTORES!$F$10,IF(AI29&lt;CONDUCTORES!$F$11,CONDUCTORES!$F$11,IF(AI29&lt;CONDUCTORES!$F$12,CONDUCTORES!$F$12,IF(AI29&lt;CONDUCTORES!$F$13,CONDUCTORES!$F$13,IF(AI29&lt;CONDUCTORES!$F$14,CONDUCTORES!$F$14,IF(AI29&lt;CONDUCTORES!$F$15,CONDUCTORES!$F$15,IF(AI29&lt;CONDUCTORES!$F$16,CONDUCTORES!$F$16,IF(AI29&lt;CONDUCTORES!$F$17,CONDUCTORES!$F$17,IF(AI29&lt;CONDUCTORES!$F$18,CONDUCTORES!$F$18,IF(AI29&lt;CONDUCTORES!$F$19,CONDUCTORES!$F$19,IF(AI29&lt;CONDUCTORES!$F$20,CONDUCTORES!$F$20,IF(AI29&lt;CONDUCTORES!$F$21,CONDUCTORES!$F$21,IF(AI29&lt;CONDUCTORES!$F$22,CONDUCTORES!$F$22,CONDUCTORES!$F$23)))))))))))))))</f>
        <v>#REF!</v>
      </c>
      <c r="AO29" s="1197" t="str">
        <f t="shared" si="12"/>
        <v>250 kcmil</v>
      </c>
      <c r="AP29" s="1196" t="e" cm="1">
        <f t="array" ref="AP29">IF(AE29="Multiconductor",INDEX(CONDUCTORES!$A$24:$A$62,MATCH(1,(CONDUCTORES!$B$24:$B$62=AO29)*(CONDUCTORES!$C$24:$C$62=AF29),0)),VLOOKUP(AO29,CONDUCTORES!$B$9:$X$23,23,FALSE))</f>
        <v>#REF!</v>
      </c>
      <c r="AQ29" s="1197" t="str">
        <f t="shared" si="13"/>
        <v>500 kcmil</v>
      </c>
      <c r="AR29" s="437" t="e" cm="1">
        <f t="array" ref="AR29">IF(AE29="Multiconductor",INDEX(CONDUCTORES!$A$24:$A$62,MATCH(1,(CONDUCTORES!$B$24:$B$62=AQ29)*(CONDUCTORES!$C$24:$C$62=AF29),0)),VLOOKUP(AQ29,CONDUCTORES!$B$9:$X$23,23,FALSE))</f>
        <v>#REF!</v>
      </c>
      <c r="AS29" s="438" t="e">
        <f t="shared" si="14"/>
        <v>#REF!</v>
      </c>
      <c r="AT29" s="1195" t="e">
        <f t="shared" si="1"/>
        <v>#REF!</v>
      </c>
      <c r="AU29" s="439">
        <f t="shared" si="2"/>
        <v>3.03E-8</v>
      </c>
      <c r="AV29" s="437" t="e">
        <f t="shared" si="15"/>
        <v>#REF!</v>
      </c>
      <c r="AW29" s="440" t="e">
        <f>VLOOKUP(AG29,COSTOS!$A$7:$Z$94,7,FALSE)</f>
        <v>#REF!</v>
      </c>
      <c r="AX29" s="437" t="e">
        <f>((2.5)/(18*LN((VLOOKUP(O29,CONDUCTORES!$B$9:$AF$23,24,FALSE))/(VLOOKUP(O29,CONDUCTORES!$B$9:$D$23,3,FALSE)))))*-0.000000001</f>
        <v>#REF!</v>
      </c>
      <c r="AY29" s="437" t="e">
        <f t="shared" si="16"/>
        <v>#REF!</v>
      </c>
      <c r="AZ29" s="437" t="e">
        <f>(0.12)*(5000)*(LN((VLOOKUP(O29,CONDUCTORES!$B$9:$AF$23,24,FALSE))/(VLOOKUP(O29,CONDUCTORES!$B$9:$D$23,3,FALSE))))</f>
        <v>#REF!</v>
      </c>
      <c r="BA29" s="437" t="e">
        <f>+($AW$3)-(((K29^2)*(VLOOKUP(O29,CONDUCTORES!$B$9:$K$23,7,FALSE)))+(0.5*AY29))*(AZ29)</f>
        <v>#REF!</v>
      </c>
      <c r="BB29" s="441" t="e">
        <f t="shared" si="17"/>
        <v>#REF!</v>
      </c>
      <c r="BC29" s="437" t="e">
        <f>+SQRT(((8*PI()*60)/(VLOOKUP(O29,CONDUCTORES!$B$9:$K$23,9,FALSE)))*(0.0000001)*(1))</f>
        <v>#REF!</v>
      </c>
      <c r="BD29" s="437" t="e">
        <f>+SQRT(((8*PI()*60)/(VLOOKUP(O29,CONDUCTORES!$B$9:$K$23,9,FALSE)))*(0.0000001)*(1))</f>
        <v>#REF!</v>
      </c>
      <c r="BE29" s="442" t="e">
        <f>((BD29^4)/((192)+((0.8)*(BD29^4))))*(((VLOOKUP(O29,CONDUCTORES!$B$9:$K$23,9,FALSE))/(1))^2)*(2.9)</f>
        <v>#REF!</v>
      </c>
      <c r="BF29" s="442" t="e">
        <f t="shared" si="18"/>
        <v>#REF!</v>
      </c>
      <c r="BG29" s="437" t="e">
        <f t="shared" si="19"/>
        <v>#REF!</v>
      </c>
      <c r="BH29" s="437">
        <v>0</v>
      </c>
      <c r="BI29" s="434" t="e">
        <f>(IF(AE29="Multiconductor",VLOOKUP(AP29,CONDUCTORES!$A$24:$G$62,6,FALSE),VLOOKUP(AO29,CONDUCTORES!$B$9:$F$23,5,FALSE)))*(U29)</f>
        <v>#REF!</v>
      </c>
      <c r="BJ29" s="434" t="e">
        <f>(IF(AE29="Multiconductor",VLOOKUP(AR29,CONDUCTORES!$A$24:$G$62,6,FALSE),VLOOKUP(AQ29,CONDUCTORES!$B$9:$F$23,5,FALSE)))*(U29)</f>
        <v>#REF!</v>
      </c>
      <c r="BK29" s="1194" t="e">
        <f t="shared" si="20"/>
        <v>#REF!</v>
      </c>
      <c r="BL29" s="443" t="e">
        <f t="shared" si="21"/>
        <v>#REF!</v>
      </c>
      <c r="BM29" s="443" t="e">
        <f t="shared" si="22"/>
        <v>#REF!</v>
      </c>
      <c r="BN29" s="1192" t="e">
        <f t="shared" si="23"/>
        <v>#REF!</v>
      </c>
      <c r="BO29" s="1198" t="e">
        <f t="shared" si="24"/>
        <v>#REF!</v>
      </c>
      <c r="BP29" s="444" t="e">
        <f t="shared" si="25"/>
        <v>#REF!</v>
      </c>
      <c r="BQ29" s="1193" t="e">
        <f>VLOOKUP(AP29,COSTOS!$A$7:$I$60,4,FALSE)</f>
        <v>#REF!</v>
      </c>
      <c r="BR29" s="1193" t="e">
        <f>VLOOKUP(AP29,COSTOS!$A$7:$I$60,5,FALSE)</f>
        <v>#REF!</v>
      </c>
      <c r="BS29" s="1193" t="e">
        <f t="shared" si="26"/>
        <v>#REF!</v>
      </c>
      <c r="BT29" s="1192" t="e">
        <f t="shared" si="27"/>
        <v>#REF!</v>
      </c>
      <c r="BU29" s="444" t="e">
        <f>VLOOKUP(AR29,COSTOS!$A$7:$I$60,4,FALSE)</f>
        <v>#REF!</v>
      </c>
      <c r="BV29" s="444" t="e">
        <f>VLOOKUP(AR29,COSTOS!$A$7:$I$60,5,FALSE)</f>
        <v>#REF!</v>
      </c>
      <c r="BW29" s="1198" t="e">
        <f t="shared" si="28"/>
        <v>#REF!</v>
      </c>
      <c r="BX29" s="1198" t="e">
        <f t="shared" si="29"/>
        <v>#REF!</v>
      </c>
      <c r="BY29" s="444" t="e">
        <f>VLOOKUP(AG29,COSTOS!$A$7:$I$60,4,FALSE)</f>
        <v>#REF!</v>
      </c>
      <c r="BZ29" s="444" t="e">
        <f>VLOOKUP(AG29,COSTOS!$A$7:$I$60,5,FALSE)</f>
        <v>#REF!</v>
      </c>
      <c r="CA29" s="444" t="e">
        <f t="shared" si="30"/>
        <v>#REF!</v>
      </c>
      <c r="CB29" s="444" t="e">
        <f t="shared" si="31"/>
        <v>#REF!</v>
      </c>
      <c r="CC29" s="444" t="e">
        <f t="shared" si="32"/>
        <v>#REF!</v>
      </c>
      <c r="CD29" s="1198" t="e">
        <f t="shared" si="33"/>
        <v>#REF!</v>
      </c>
      <c r="CE29" s="444" t="e">
        <f t="shared" si="34"/>
        <v>#REF!</v>
      </c>
      <c r="CF29" s="445"/>
    </row>
    <row r="30" spans="2:84" s="408" customFormat="1" ht="15.6" hidden="1" x14ac:dyDescent="0.25">
      <c r="B30" s="372">
        <v>10</v>
      </c>
      <c r="C30" s="852" t="str">
        <f>+_xlfn.CONCAT($C$18,".",SUBTOTAL(103,$X$19:X30))</f>
        <v>5.2.7</v>
      </c>
      <c r="D30" s="1040" t="e">
        <f>+'H2-CONDUCTORES DE BT'!#REF!</f>
        <v>#REF!</v>
      </c>
      <c r="E30" s="1088" t="e">
        <f>+VLOOKUP(D30,'H2-CONDUCTORES DE BT'!$D$2:$BL$155,2,FALSE)</f>
        <v>#REF!</v>
      </c>
      <c r="F30" s="1160" t="e">
        <f>+VLOOKUP(D30,'H2-CONDUCTORES DE BT'!$D$2:$BL$155,6,FALSE)</f>
        <v>#REF!</v>
      </c>
      <c r="G30" s="1093" t="e">
        <f>+VLOOKUP(D30,'H2-CONDUCTORES DE BT'!$D$2:$BL$155,7,FALSE)</f>
        <v>#REF!</v>
      </c>
      <c r="H30" s="1161" t="e">
        <f>+VLOOKUP(D30,'H2-CONDUCTORES DE BT'!$D$2:$BL$155,8,FALSE)</f>
        <v>#REF!</v>
      </c>
      <c r="I30" s="1093" t="e">
        <f>+VLOOKUP(D30,'H2-CONDUCTORES DE BT'!$D$2:$BL$155,9,FALSE)</f>
        <v>#REF!</v>
      </c>
      <c r="J30" s="1162" t="e">
        <f>+VLOOKUP(D30,'H2-CONDUCTORES DE BT'!$D$2:$BL$155,10,FALSE)</f>
        <v>#REF!</v>
      </c>
      <c r="K30" s="1163" t="e">
        <f>+VLOOKUP(D30,'H2-CONDUCTORES DE BT'!$D$2:$BL$155,28,FALSE)</f>
        <v>#REF!</v>
      </c>
      <c r="L30" s="1164" t="e">
        <f>+VLOOKUP(D30,'H2-CONDUCTORES DE BT'!$D$2:$BL$155,11,FALSE)</f>
        <v>#REF!</v>
      </c>
      <c r="M30" s="1063" t="e">
        <f>+VLOOKUP(D30,'H2-CONDUCTORES DE BT'!$D$2:$BL$155,4,FALSE)</f>
        <v>#REF!</v>
      </c>
      <c r="N30" s="1165" t="e">
        <f t="shared" si="35"/>
        <v>#REF!</v>
      </c>
      <c r="O30" s="1055" t="e">
        <f>IF(VLOOKUP(D30,'H2-CONDUCTORES DE BT'!$D$2:$BL$155,57,FALSE)="Al",VLOOKUP(D30,'H2-CONDUCTORES DE BT'!$D$2:$BL$155,55,FALSE),VLOOKUP(D30,'H2-CONDUCTORES DE BT'!$D$2:$BL$155,36,FALSE))</f>
        <v>#REF!</v>
      </c>
      <c r="P30" s="1091" t="e">
        <f t="shared" si="36"/>
        <v>#REF!</v>
      </c>
      <c r="Q30" s="1166"/>
      <c r="R30" s="1155" t="e">
        <f t="shared" si="5"/>
        <v>#REF!</v>
      </c>
      <c r="S30" s="1155" t="e">
        <f t="shared" si="6"/>
        <v>#REF!</v>
      </c>
      <c r="T30" s="1155" t="e">
        <f t="shared" si="7"/>
        <v>#REF!</v>
      </c>
      <c r="U30" s="1159">
        <v>9</v>
      </c>
      <c r="V30" s="1158" t="s">
        <v>964</v>
      </c>
      <c r="W30" s="1159">
        <v>2</v>
      </c>
      <c r="X30" s="1158" t="s">
        <v>966</v>
      </c>
      <c r="Y30" s="1168" t="e">
        <f t="shared" si="37"/>
        <v>#REF!</v>
      </c>
      <c r="Z30" s="499" t="e">
        <f>+VLOOKUP(D30,'H2-CONDUCTORES DE BT'!$D$2:$BL$155,37,FALSE)</f>
        <v>#REF!</v>
      </c>
      <c r="AA30" s="343" t="e">
        <f>+VLOOKUP(D30,'H2-CONDUCTORES DE BT'!$D$2:$BL$155,55,FALSE)</f>
        <v>#REF!</v>
      </c>
      <c r="AB30" s="343" t="e">
        <f>IF(AE30="Multiconductor","N/A",IF(VLOOKUP(D30,'H2-CONDUCTORES DE BT'!$D$2:$BL$155,50,FALSE)&lt;&gt;1,VLOOKUP(D30,'H2-CONDUCTORES DE BT'!$D$2:$BL$155,50,FALSE),IF(VLOOKUP(D30,'H2-CONDUCTORES DE BT'!$D$2:$BL$155,23,FALSE)="BANDEJA",1,IF(VLOOKUP(D30,'H2-CONDUCTORES DE BT'!$D$2:$BL$155,24,FALSE)&lt;&gt;3,IF(((VLOOKUP(D30,'H2-CONDUCTORES DE BT'!$D$2:$BL$155,24,FALSE))/3)=Z30,1),VLOOKUP(D30,'H2-CONDUCTORES DE BT'!$D$2:$BL$155,37,FALSE)))))</f>
        <v>#REF!</v>
      </c>
      <c r="AC30" s="343" t="e">
        <f>IF(AE30="Multiconductor","N/A",(IF((VLOOKUP(D30,'H2-CONDUCTORES DE BT'!$D$2:$BL$155,40,FALSE))="Al",IF((VLOOKUP(D30,'H2-CONDUCTORES DE BT'!$D$2:$BL$155,51,FALSE))="No",LOOKUP((VLOOKUP(D30,'H2-CONDUCTORES DE BT'!$D$2:$BL$155,16,FALSE)),CONDUCTORES!$A$111:$A$131,CONDUCTORES!$C$111:$C$131),(VLOOKUP(D30,'H2-CONDUCTORES DE BT'!$D$2:$BL$155,51,FALSE))),IF((VLOOKUP(D30,'H2-CONDUCTORES DE BT'!$D$2:$BL$155,51,FALSE))="No",LOOKUP((VLOOKUP(D30,'H2-CONDUCTORES DE BT'!$D$2:$BL$155,16,FALSE)),CONDUCTORES!$A$111:$A$131,CONDUCTORES!$B$111:$B$131),(VLOOKUP(D30,'H2-CONDUCTORES DE BT'!$D$2:$BL$155,51,FALSE))))))</f>
        <v>#REF!</v>
      </c>
      <c r="AD30" s="340">
        <f t="shared" si="10"/>
        <v>2</v>
      </c>
      <c r="AE30" s="464" t="e">
        <f>+VLOOKUP(D30,'H2-CONDUCTORES DE BT'!$D$2:$BL$155,38,FALSE)</f>
        <v>#REF!</v>
      </c>
      <c r="AF30" s="531" t="e">
        <f>IF(AE30="Monopolar","N/A",VLOOKUP(D30,'H2-CONDUCTORES DE BT'!$D$2:$BL$192,39,FALSE))</f>
        <v>#REF!</v>
      </c>
      <c r="AG30" s="437" t="e">
        <f>+VLOOKUP(D30,'H2-CONDUCTORES DE BT'!$D$2:$CL$492,70,FALSE)</f>
        <v>#REF!</v>
      </c>
      <c r="AH30" s="434" t="e">
        <f>(VLOOKUP(AG30,CONDUCTORES!$A$9:$G$62,6,FALSE))*(Z30)</f>
        <v>#REF!</v>
      </c>
      <c r="AI30" s="434" t="e">
        <f t="shared" si="11"/>
        <v>#REF!</v>
      </c>
      <c r="AJ30" s="434" t="e">
        <f>+IF(U30=1,"N/A",IF((AI30/U30)&lt;CONDUCTORES!$F$9,CONDUCTORES!$F$9,IF((AI30/U30)&lt;CONDUCTORES!$F$10,CONDUCTORES!$F$10,IF((AI30/U30)&lt;CONDUCTORES!$F$11,CONDUCTORES!$F$11,IF((AI30/U30)&lt;CONDUCTORES!$F$12,CONDUCTORES!$F$12,IF((AI30/U30)&lt;CONDUCTORES!$F$13,CONDUCTORES!$F$13,IF((AI30/U30)&lt;CONDUCTORES!$F$14,CONDUCTORES!$F$14,IF((AI30/U30)&lt;CONDUCTORES!$F$15,CONDUCTORES!$F$15,IF((AI30/U30)&lt;CONDUCTORES!$F$16,CONDUCTORES!$F$16,IF((AI30/U30)&lt;CONDUCTORES!$F$17,CONDUCTORES!$F$17,IF((AI30/U30)&lt;CONDUCTORES!$F$18,CONDUCTORES!$F$18,IF((AI30/U30)&lt;CONDUCTORES!$F$19,CONDUCTORES!$F$19,IF((AI30/U30)&lt;CONDUCTORES!$F$20,CONDUCTORES!$F$20,IF((AI30/U30)&lt;CONDUCTORES!$F$21,CONDUCTORES!$F$21,IF((AI30/U30)&lt;CONDUCTORES!$F$22,CONDUCTORES!$F$22,CONDUCTORES!$F$23)))))))))))))))</f>
        <v>#REF!</v>
      </c>
      <c r="AK30" s="434" t="e">
        <f>IF(AF30="2/C  -",IF(AI30&lt;CONDUCTORES!$F$33,CONDUCTORES!$F$33,IF(AI30&lt;CONDUCTORES!$F$36,CONDUCTORES!$F$36,IF(AI30&lt;CONDUCTORES!$F$39,CONDUCTORES!$F$39,IF(AI30&lt;CONDUCTORES!$F$42,CONDUCTORES!$F$42,IF(AI30&lt;CONDUCTORES!$F$45,CONDUCTORES!$F$45,IF(AI30&lt;CONDUCTORES!$F$48,CONDUCTORES!$F$48,IF(AI30&lt;CONDUCTORES!$F$51,CONDUCTORES!$F$51,IF(AI30&lt;CONDUCTORES!$F$54,CONDUCTORES!$F$54,IF(AI30&lt;CONDUCTORES!$F$57,CONDUCTORES!$F$57,CONDUCTORES!$F$60))))))))),0)</f>
        <v>#REF!</v>
      </c>
      <c r="AL30" s="434" t="e">
        <f>IF(AF30="3/C  -",IF(AI30&lt;CONDUCTORES!$F$34,CONDUCTORES!$F$34,IF(AI30&lt;CONDUCTORES!$F$37,CONDUCTORES!$F$37,IF(AI30&lt;CONDUCTORES!$F$40,CONDUCTORES!$F$40,IF(AI30&lt;CONDUCTORES!$F$43,CONDUCTORES!$F$43,IF(AI30&lt;CONDUCTORES!$F$46,CONDUCTORES!$F$46,IF(AI30&lt;CONDUCTORES!$F$49,CONDUCTORES!$F$49,IF(AI30&lt;CONDUCTORES!$F$52,CONDUCTORES!$F$52,IF(AI30&lt;CONDUCTORES!$F$55,CONDUCTORES!$F$55,IF(AI30&lt;CONDUCTORES!$F$58,CONDUCTORES!$F$58,CONDUCTORES!$F$61))))))))),0)</f>
        <v>#REF!</v>
      </c>
      <c r="AM30" s="434" t="e">
        <f>IF(AF30="4/C  -",IF(AI30&lt;CONDUCTORES!$F$35,CONDUCTORES!$F$35,IF(AI30&lt;CONDUCTORES!$F$38,CONDUCTORES!$F$38,IF(AI30&lt;CONDUCTORES!$F$41,CONDUCTORES!$F$41,IF(AI30&lt;CONDUCTORES!$F$44,CONDUCTORES!$F$44,IF(AI30&lt;CONDUCTORES!$F$47,CONDUCTORES!$F$47,IF(AI30&lt;CONDUCTORES!$F$50,CONDUCTORES!$F$50,IF(AI30&lt;CONDUCTORES!$F$53,CONDUCTORES!$F$53,IF(AI30&lt;CONDUCTORES!$F$56,CONDUCTORES!$F$56,IF(AI30&lt;CONDUCTORES!$F$59,CONDUCTORES!$F$59,CONDUCTORES!$F$62))))))))),0)</f>
        <v>#REF!</v>
      </c>
      <c r="AN30" s="436" t="e">
        <f>IF(AE30="Multiconductor",IF(AF30="2/C  -",AK30,IF(AF30="3/C  -",AL30,IF(AF30="4/C  -",AM30,"NO SE CÁLCULO, REVISAR"))),IF(AI30&lt;CONDUCTORES!$F$9,CONDUCTORES!$F$9,IF(AI30&lt;CONDUCTORES!$F$10,CONDUCTORES!$F$10,IF(AI30&lt;CONDUCTORES!$F$11,CONDUCTORES!$F$11,IF(AI30&lt;CONDUCTORES!$F$12,CONDUCTORES!$F$12,IF(AI30&lt;CONDUCTORES!$F$13,CONDUCTORES!$F$13,IF(AI30&lt;CONDUCTORES!$F$14,CONDUCTORES!$F$14,IF(AI30&lt;CONDUCTORES!$F$15,CONDUCTORES!$F$15,IF(AI30&lt;CONDUCTORES!$F$16,CONDUCTORES!$F$16,IF(AI30&lt;CONDUCTORES!$F$17,CONDUCTORES!$F$17,IF(AI30&lt;CONDUCTORES!$F$18,CONDUCTORES!$F$18,IF(AI30&lt;CONDUCTORES!$F$19,CONDUCTORES!$F$19,IF(AI30&lt;CONDUCTORES!$F$20,CONDUCTORES!$F$20,IF(AI30&lt;CONDUCTORES!$F$21,CONDUCTORES!$F$21,IF(AI30&lt;CONDUCTORES!$F$22,CONDUCTORES!$F$22,CONDUCTORES!$F$23)))))))))))))))</f>
        <v>#REF!</v>
      </c>
      <c r="AO30" s="1197" t="str">
        <f t="shared" si="12"/>
        <v>250 kcmil</v>
      </c>
      <c r="AP30" s="1196" t="e" cm="1">
        <f t="array" ref="AP30">IF(AE30="Multiconductor",INDEX(CONDUCTORES!$A$24:$A$62,MATCH(1,(CONDUCTORES!$B$24:$B$62=AO30)*(CONDUCTORES!$C$24:$C$62=AF30),0)),VLOOKUP(AO30,CONDUCTORES!$B$9:$X$23,23,FALSE))</f>
        <v>#REF!</v>
      </c>
      <c r="AQ30" s="1197" t="str">
        <f t="shared" si="13"/>
        <v>500 kcmil</v>
      </c>
      <c r="AR30" s="437" t="e" cm="1">
        <f t="array" ref="AR30">IF(AE30="Multiconductor",INDEX(CONDUCTORES!$A$24:$A$62,MATCH(1,(CONDUCTORES!$B$24:$B$62=AQ30)*(CONDUCTORES!$C$24:$C$62=AF30),0)),VLOOKUP(AQ30,CONDUCTORES!$B$9:$X$23,23,FALSE))</f>
        <v>#REF!</v>
      </c>
      <c r="AS30" s="438" t="e">
        <f t="shared" si="14"/>
        <v>#REF!</v>
      </c>
      <c r="AT30" s="1195" t="e">
        <f t="shared" si="1"/>
        <v>#REF!</v>
      </c>
      <c r="AU30" s="439">
        <f t="shared" si="2"/>
        <v>3.03E-8</v>
      </c>
      <c r="AV30" s="437" t="e">
        <f t="shared" si="15"/>
        <v>#REF!</v>
      </c>
      <c r="AW30" s="440" t="e">
        <f>VLOOKUP(AG30,COSTOS!$A$7:$Z$94,7,FALSE)</f>
        <v>#REF!</v>
      </c>
      <c r="AX30" s="437" t="e">
        <f>((2.5)/(18*LN((VLOOKUP(O30,CONDUCTORES!$B$9:$AF$23,24,FALSE))/(VLOOKUP(O30,CONDUCTORES!$B$9:$D$23,3,FALSE)))))*-0.000000001</f>
        <v>#REF!</v>
      </c>
      <c r="AY30" s="437" t="e">
        <f t="shared" si="16"/>
        <v>#REF!</v>
      </c>
      <c r="AZ30" s="437" t="e">
        <f>(0.12)*(5000)*(LN((VLOOKUP(O30,CONDUCTORES!$B$9:$AF$23,24,FALSE))/(VLOOKUP(O30,CONDUCTORES!$B$9:$D$23,3,FALSE))))</f>
        <v>#REF!</v>
      </c>
      <c r="BA30" s="437" t="e">
        <f>+($AW$3)-(((K30^2)*(VLOOKUP(O30,CONDUCTORES!$B$9:$K$23,7,FALSE)))+(0.5*AY30))*(AZ30)</f>
        <v>#REF!</v>
      </c>
      <c r="BB30" s="441" t="e">
        <f t="shared" si="17"/>
        <v>#REF!</v>
      </c>
      <c r="BC30" s="437" t="e">
        <f>+SQRT(((8*PI()*60)/(VLOOKUP(O30,CONDUCTORES!$B$9:$K$23,9,FALSE)))*(0.0000001)*(1))</f>
        <v>#REF!</v>
      </c>
      <c r="BD30" s="437" t="e">
        <f>+SQRT(((8*PI()*60)/(VLOOKUP(O30,CONDUCTORES!$B$9:$K$23,9,FALSE)))*(0.0000001)*(1))</f>
        <v>#REF!</v>
      </c>
      <c r="BE30" s="442" t="e">
        <f>((BD30^4)/((192)+((0.8)*(BD30^4))))*(((VLOOKUP(O30,CONDUCTORES!$B$9:$K$23,9,FALSE))/(1))^2)*(2.9)</f>
        <v>#REF!</v>
      </c>
      <c r="BF30" s="442" t="e">
        <f t="shared" si="18"/>
        <v>#REF!</v>
      </c>
      <c r="BG30" s="437" t="e">
        <f t="shared" si="19"/>
        <v>#REF!</v>
      </c>
      <c r="BH30" s="437">
        <v>0</v>
      </c>
      <c r="BI30" s="434" t="e">
        <f>(IF(AE30="Multiconductor",VLOOKUP(AP30,CONDUCTORES!$A$24:$G$62,6,FALSE),VLOOKUP(AO30,CONDUCTORES!$B$9:$F$23,5,FALSE)))*(U30)</f>
        <v>#REF!</v>
      </c>
      <c r="BJ30" s="434" t="e">
        <f>(IF(AE30="Multiconductor",VLOOKUP(AR30,CONDUCTORES!$A$24:$G$62,6,FALSE),VLOOKUP(AQ30,CONDUCTORES!$B$9:$F$23,5,FALSE)))*(U30)</f>
        <v>#REF!</v>
      </c>
      <c r="BK30" s="1194" t="e">
        <f t="shared" si="20"/>
        <v>#REF!</v>
      </c>
      <c r="BL30" s="443" t="e">
        <f t="shared" si="21"/>
        <v>#REF!</v>
      </c>
      <c r="BM30" s="443" t="e">
        <f t="shared" si="22"/>
        <v>#REF!</v>
      </c>
      <c r="BN30" s="1192" t="e">
        <f t="shared" si="23"/>
        <v>#REF!</v>
      </c>
      <c r="BO30" s="1198" t="e">
        <f t="shared" si="24"/>
        <v>#REF!</v>
      </c>
      <c r="BP30" s="444" t="e">
        <f t="shared" si="25"/>
        <v>#REF!</v>
      </c>
      <c r="BQ30" s="1193" t="e">
        <f>VLOOKUP(AP30,COSTOS!$A$7:$I$60,4,FALSE)</f>
        <v>#REF!</v>
      </c>
      <c r="BR30" s="1193" t="e">
        <f>VLOOKUP(AP30,COSTOS!$A$7:$I$60,5,FALSE)</f>
        <v>#REF!</v>
      </c>
      <c r="BS30" s="1193" t="e">
        <f t="shared" si="26"/>
        <v>#REF!</v>
      </c>
      <c r="BT30" s="1192" t="e">
        <f t="shared" si="27"/>
        <v>#REF!</v>
      </c>
      <c r="BU30" s="444" t="e">
        <f>VLOOKUP(AR30,COSTOS!$A$7:$I$60,4,FALSE)</f>
        <v>#REF!</v>
      </c>
      <c r="BV30" s="444" t="e">
        <f>VLOOKUP(AR30,COSTOS!$A$7:$I$60,5,FALSE)</f>
        <v>#REF!</v>
      </c>
      <c r="BW30" s="1198" t="e">
        <f t="shared" si="28"/>
        <v>#REF!</v>
      </c>
      <c r="BX30" s="1198" t="e">
        <f t="shared" si="29"/>
        <v>#REF!</v>
      </c>
      <c r="BY30" s="444" t="e">
        <f>VLOOKUP(AG30,COSTOS!$A$7:$I$60,4,FALSE)</f>
        <v>#REF!</v>
      </c>
      <c r="BZ30" s="444" t="e">
        <f>VLOOKUP(AG30,COSTOS!$A$7:$I$60,5,FALSE)</f>
        <v>#REF!</v>
      </c>
      <c r="CA30" s="444" t="e">
        <f t="shared" si="30"/>
        <v>#REF!</v>
      </c>
      <c r="CB30" s="444" t="e">
        <f t="shared" si="31"/>
        <v>#REF!</v>
      </c>
      <c r="CC30" s="444" t="e">
        <f t="shared" si="32"/>
        <v>#REF!</v>
      </c>
      <c r="CD30" s="1198" t="e">
        <f t="shared" si="33"/>
        <v>#REF!</v>
      </c>
      <c r="CE30" s="444" t="e">
        <f t="shared" si="34"/>
        <v>#REF!</v>
      </c>
      <c r="CF30" s="445"/>
    </row>
    <row r="31" spans="2:84" s="408" customFormat="1" ht="15.6" hidden="1" x14ac:dyDescent="0.25">
      <c r="B31" s="372">
        <v>9</v>
      </c>
      <c r="C31" s="852" t="str">
        <f>+_xlfn.CONCAT($C$18,".",SUBTOTAL(103,$X$19:X31))</f>
        <v>5.2.7</v>
      </c>
      <c r="D31" s="1040" t="e">
        <f>+'H2-CONDUCTORES DE BT'!#REF!</f>
        <v>#REF!</v>
      </c>
      <c r="E31" s="1088" t="e">
        <f>+VLOOKUP(D31,'H2-CONDUCTORES DE BT'!$D$2:$BL$155,2,FALSE)</f>
        <v>#REF!</v>
      </c>
      <c r="F31" s="1160" t="e">
        <f>+VLOOKUP(D31,'H2-CONDUCTORES DE BT'!$D$2:$BL$155,6,FALSE)</f>
        <v>#REF!</v>
      </c>
      <c r="G31" s="1093" t="e">
        <f>+VLOOKUP(D31,'H2-CONDUCTORES DE BT'!$D$2:$BL$155,7,FALSE)</f>
        <v>#REF!</v>
      </c>
      <c r="H31" s="1161" t="e">
        <f>+VLOOKUP(D31,'H2-CONDUCTORES DE BT'!$D$2:$BL$155,8,FALSE)</f>
        <v>#REF!</v>
      </c>
      <c r="I31" s="1093" t="e">
        <f>+VLOOKUP(D31,'H2-CONDUCTORES DE BT'!$D$2:$BL$155,9,FALSE)</f>
        <v>#REF!</v>
      </c>
      <c r="J31" s="1162" t="e">
        <f>+VLOOKUP(D31,'H2-CONDUCTORES DE BT'!$D$2:$BL$155,10,FALSE)</f>
        <v>#REF!</v>
      </c>
      <c r="K31" s="1163" t="e">
        <f>+VLOOKUP(D31,'H2-CONDUCTORES DE BT'!$D$2:$BL$155,28,FALSE)</f>
        <v>#REF!</v>
      </c>
      <c r="L31" s="1164" t="e">
        <f>+VLOOKUP(D31,'H2-CONDUCTORES DE BT'!$D$2:$BL$155,11,FALSE)</f>
        <v>#REF!</v>
      </c>
      <c r="M31" s="1063" t="e">
        <f>+VLOOKUP(D31,'H2-CONDUCTORES DE BT'!$D$2:$BL$155,4,FALSE)</f>
        <v>#REF!</v>
      </c>
      <c r="N31" s="1165" t="e">
        <f t="shared" si="35"/>
        <v>#REF!</v>
      </c>
      <c r="O31" s="1055" t="e">
        <f>IF(VLOOKUP(D31,'H2-CONDUCTORES DE BT'!$D$2:$BL$155,57,FALSE)="Al",VLOOKUP(D31,'H2-CONDUCTORES DE BT'!$D$2:$BL$155,55,FALSE),VLOOKUP(D31,'H2-CONDUCTORES DE BT'!$D$2:$BL$155,36,FALSE))</f>
        <v>#REF!</v>
      </c>
      <c r="P31" s="1091" t="e">
        <f t="shared" si="36"/>
        <v>#REF!</v>
      </c>
      <c r="Q31" s="1166"/>
      <c r="R31" s="1155" t="e">
        <f t="shared" si="5"/>
        <v>#REF!</v>
      </c>
      <c r="S31" s="1155" t="e">
        <f t="shared" si="6"/>
        <v>#REF!</v>
      </c>
      <c r="T31" s="1155" t="e">
        <f t="shared" si="7"/>
        <v>#REF!</v>
      </c>
      <c r="U31" s="1159">
        <v>9</v>
      </c>
      <c r="V31" s="1158" t="s">
        <v>964</v>
      </c>
      <c r="W31" s="1159">
        <v>2</v>
      </c>
      <c r="X31" s="1158" t="s">
        <v>966</v>
      </c>
      <c r="Y31" s="1168" t="e">
        <f t="shared" si="37"/>
        <v>#REF!</v>
      </c>
      <c r="Z31" s="499" t="e">
        <f>+VLOOKUP(D31,'H2-CONDUCTORES DE BT'!$D$2:$BL$155,37,FALSE)</f>
        <v>#REF!</v>
      </c>
      <c r="AA31" s="343" t="e">
        <f>+VLOOKUP(D31,'H2-CONDUCTORES DE BT'!$D$2:$BL$155,55,FALSE)</f>
        <v>#REF!</v>
      </c>
      <c r="AB31" s="343" t="e">
        <f>IF(AE31="Multiconductor","N/A",IF(VLOOKUP(D31,'H2-CONDUCTORES DE BT'!$D$2:$BL$155,50,FALSE)&lt;&gt;1,VLOOKUP(D31,'H2-CONDUCTORES DE BT'!$D$2:$BL$155,50,FALSE),IF(VLOOKUP(D31,'H2-CONDUCTORES DE BT'!$D$2:$BL$155,23,FALSE)="BANDEJA",1,IF(VLOOKUP(D31,'H2-CONDUCTORES DE BT'!$D$2:$BL$155,24,FALSE)&lt;&gt;3,IF(((VLOOKUP(D31,'H2-CONDUCTORES DE BT'!$D$2:$BL$155,24,FALSE))/3)=Z31,1),VLOOKUP(D31,'H2-CONDUCTORES DE BT'!$D$2:$BL$155,37,FALSE)))))</f>
        <v>#REF!</v>
      </c>
      <c r="AC31" s="343" t="e">
        <f>IF(AE31="Multiconductor","N/A",(IF((VLOOKUP(D31,'H2-CONDUCTORES DE BT'!$D$2:$BL$155,40,FALSE))="Al",IF((VLOOKUP(D31,'H2-CONDUCTORES DE BT'!$D$2:$BL$155,51,FALSE))="No",LOOKUP((VLOOKUP(D31,'H2-CONDUCTORES DE BT'!$D$2:$BL$155,16,FALSE)),CONDUCTORES!$A$111:$A$131,CONDUCTORES!$C$111:$C$131),(VLOOKUP(D31,'H2-CONDUCTORES DE BT'!$D$2:$BL$155,51,FALSE))),IF((VLOOKUP(D31,'H2-CONDUCTORES DE BT'!$D$2:$BL$155,51,FALSE))="No",LOOKUP((VLOOKUP(D31,'H2-CONDUCTORES DE BT'!$D$2:$BL$155,16,FALSE)),CONDUCTORES!$A$111:$A$131,CONDUCTORES!$B$111:$B$131),(VLOOKUP(D31,'H2-CONDUCTORES DE BT'!$D$2:$BL$155,51,FALSE))))))</f>
        <v>#REF!</v>
      </c>
      <c r="AD31" s="340">
        <f t="shared" si="10"/>
        <v>2</v>
      </c>
      <c r="AE31" s="464" t="e">
        <f>+VLOOKUP(D31,'H2-CONDUCTORES DE BT'!$D$2:$BL$155,38,FALSE)</f>
        <v>#REF!</v>
      </c>
      <c r="AF31" s="531" t="e">
        <f>IF(AE31="Monopolar","N/A",VLOOKUP(D31,'H2-CONDUCTORES DE BT'!$D$2:$BL$192,39,FALSE))</f>
        <v>#REF!</v>
      </c>
      <c r="AG31" s="437" t="e">
        <f>+VLOOKUP(D31,'H2-CONDUCTORES DE BT'!$D$2:$CL$492,70,FALSE)</f>
        <v>#REF!</v>
      </c>
      <c r="AH31" s="434" t="e">
        <f>(VLOOKUP(AG31,CONDUCTORES!$A$9:$G$62,6,FALSE))*(Z31)</f>
        <v>#REF!</v>
      </c>
      <c r="AI31" s="434" t="e">
        <f t="shared" si="11"/>
        <v>#REF!</v>
      </c>
      <c r="AJ31" s="434" t="e">
        <f>+IF(U31=1,"N/A",IF((AI31/U31)&lt;CONDUCTORES!$F$9,CONDUCTORES!$F$9,IF((AI31/U31)&lt;CONDUCTORES!$F$10,CONDUCTORES!$F$10,IF((AI31/U31)&lt;CONDUCTORES!$F$11,CONDUCTORES!$F$11,IF((AI31/U31)&lt;CONDUCTORES!$F$12,CONDUCTORES!$F$12,IF((AI31/U31)&lt;CONDUCTORES!$F$13,CONDUCTORES!$F$13,IF((AI31/U31)&lt;CONDUCTORES!$F$14,CONDUCTORES!$F$14,IF((AI31/U31)&lt;CONDUCTORES!$F$15,CONDUCTORES!$F$15,IF((AI31/U31)&lt;CONDUCTORES!$F$16,CONDUCTORES!$F$16,IF((AI31/U31)&lt;CONDUCTORES!$F$17,CONDUCTORES!$F$17,IF((AI31/U31)&lt;CONDUCTORES!$F$18,CONDUCTORES!$F$18,IF((AI31/U31)&lt;CONDUCTORES!$F$19,CONDUCTORES!$F$19,IF((AI31/U31)&lt;CONDUCTORES!$F$20,CONDUCTORES!$F$20,IF((AI31/U31)&lt;CONDUCTORES!$F$21,CONDUCTORES!$F$21,IF((AI31/U31)&lt;CONDUCTORES!$F$22,CONDUCTORES!$F$22,CONDUCTORES!$F$23)))))))))))))))</f>
        <v>#REF!</v>
      </c>
      <c r="AK31" s="434" t="e">
        <f>IF(AF31="2/C  -",IF(AI31&lt;CONDUCTORES!$F$33,CONDUCTORES!$F$33,IF(AI31&lt;CONDUCTORES!$F$36,CONDUCTORES!$F$36,IF(AI31&lt;CONDUCTORES!$F$39,CONDUCTORES!$F$39,IF(AI31&lt;CONDUCTORES!$F$42,CONDUCTORES!$F$42,IF(AI31&lt;CONDUCTORES!$F$45,CONDUCTORES!$F$45,IF(AI31&lt;CONDUCTORES!$F$48,CONDUCTORES!$F$48,IF(AI31&lt;CONDUCTORES!$F$51,CONDUCTORES!$F$51,IF(AI31&lt;CONDUCTORES!$F$54,CONDUCTORES!$F$54,IF(AI31&lt;CONDUCTORES!$F$57,CONDUCTORES!$F$57,CONDUCTORES!$F$60))))))))),0)</f>
        <v>#REF!</v>
      </c>
      <c r="AL31" s="434" t="e">
        <f>IF(AF31="3/C  -",IF(AI31&lt;CONDUCTORES!$F$34,CONDUCTORES!$F$34,IF(AI31&lt;CONDUCTORES!$F$37,CONDUCTORES!$F$37,IF(AI31&lt;CONDUCTORES!$F$40,CONDUCTORES!$F$40,IF(AI31&lt;CONDUCTORES!$F$43,CONDUCTORES!$F$43,IF(AI31&lt;CONDUCTORES!$F$46,CONDUCTORES!$F$46,IF(AI31&lt;CONDUCTORES!$F$49,CONDUCTORES!$F$49,IF(AI31&lt;CONDUCTORES!$F$52,CONDUCTORES!$F$52,IF(AI31&lt;CONDUCTORES!$F$55,CONDUCTORES!$F$55,IF(AI31&lt;CONDUCTORES!$F$58,CONDUCTORES!$F$58,CONDUCTORES!$F$61))))))))),0)</f>
        <v>#REF!</v>
      </c>
      <c r="AM31" s="434" t="e">
        <f>IF(AF31="4/C  -",IF(AI31&lt;CONDUCTORES!$F$35,CONDUCTORES!$F$35,IF(AI31&lt;CONDUCTORES!$F$38,CONDUCTORES!$F$38,IF(AI31&lt;CONDUCTORES!$F$41,CONDUCTORES!$F$41,IF(AI31&lt;CONDUCTORES!$F$44,CONDUCTORES!$F$44,IF(AI31&lt;CONDUCTORES!$F$47,CONDUCTORES!$F$47,IF(AI31&lt;CONDUCTORES!$F$50,CONDUCTORES!$F$50,IF(AI31&lt;CONDUCTORES!$F$53,CONDUCTORES!$F$53,IF(AI31&lt;CONDUCTORES!$F$56,CONDUCTORES!$F$56,IF(AI31&lt;CONDUCTORES!$F$59,CONDUCTORES!$F$59,CONDUCTORES!$F$62))))))))),0)</f>
        <v>#REF!</v>
      </c>
      <c r="AN31" s="436" t="e">
        <f>IF(AE31="Multiconductor",IF(AF31="2/C  -",AK31,IF(AF31="3/C  -",AL31,IF(AF31="4/C  -",AM31,"NO SE CÁLCULO, REVISAR"))),IF(AI31&lt;CONDUCTORES!$F$9,CONDUCTORES!$F$9,IF(AI31&lt;CONDUCTORES!$F$10,CONDUCTORES!$F$10,IF(AI31&lt;CONDUCTORES!$F$11,CONDUCTORES!$F$11,IF(AI31&lt;CONDUCTORES!$F$12,CONDUCTORES!$F$12,IF(AI31&lt;CONDUCTORES!$F$13,CONDUCTORES!$F$13,IF(AI31&lt;CONDUCTORES!$F$14,CONDUCTORES!$F$14,IF(AI31&lt;CONDUCTORES!$F$15,CONDUCTORES!$F$15,IF(AI31&lt;CONDUCTORES!$F$16,CONDUCTORES!$F$16,IF(AI31&lt;CONDUCTORES!$F$17,CONDUCTORES!$F$17,IF(AI31&lt;CONDUCTORES!$F$18,CONDUCTORES!$F$18,IF(AI31&lt;CONDUCTORES!$F$19,CONDUCTORES!$F$19,IF(AI31&lt;CONDUCTORES!$F$20,CONDUCTORES!$F$20,IF(AI31&lt;CONDUCTORES!$F$21,CONDUCTORES!$F$21,IF(AI31&lt;CONDUCTORES!$F$22,CONDUCTORES!$F$22,CONDUCTORES!$F$23)))))))))))))))</f>
        <v>#REF!</v>
      </c>
      <c r="AO31" s="1197" t="str">
        <f t="shared" si="12"/>
        <v>250 kcmil</v>
      </c>
      <c r="AP31" s="1196" t="e" cm="1">
        <f t="array" ref="AP31">IF(AE31="Multiconductor",INDEX(CONDUCTORES!$A$24:$A$62,MATCH(1,(CONDUCTORES!$B$24:$B$62=AO31)*(CONDUCTORES!$C$24:$C$62=AF31),0)),VLOOKUP(AO31,CONDUCTORES!$B$9:$X$23,23,FALSE))</f>
        <v>#REF!</v>
      </c>
      <c r="AQ31" s="1197" t="str">
        <f t="shared" si="13"/>
        <v>500 kcmil</v>
      </c>
      <c r="AR31" s="437" t="e" cm="1">
        <f t="array" ref="AR31">IF(AE31="Multiconductor",INDEX(CONDUCTORES!$A$24:$A$62,MATCH(1,(CONDUCTORES!$B$24:$B$62=AQ31)*(CONDUCTORES!$C$24:$C$62=AF31),0)),VLOOKUP(AQ31,CONDUCTORES!$B$9:$X$23,23,FALSE))</f>
        <v>#REF!</v>
      </c>
      <c r="AS31" s="438" t="e">
        <f t="shared" si="14"/>
        <v>#REF!</v>
      </c>
      <c r="AT31" s="1195" t="e">
        <f t="shared" si="1"/>
        <v>#REF!</v>
      </c>
      <c r="AU31" s="439">
        <f t="shared" si="2"/>
        <v>3.03E-8</v>
      </c>
      <c r="AV31" s="437" t="e">
        <f t="shared" si="15"/>
        <v>#REF!</v>
      </c>
      <c r="AW31" s="440" t="e">
        <f>VLOOKUP(AG31,COSTOS!$A$7:$Z$94,7,FALSE)</f>
        <v>#REF!</v>
      </c>
      <c r="AX31" s="437" t="e">
        <f>((2.5)/(18*LN((VLOOKUP(O31,CONDUCTORES!$B$9:$AF$23,24,FALSE))/(VLOOKUP(O31,CONDUCTORES!$B$9:$D$23,3,FALSE)))))*-0.000000001</f>
        <v>#REF!</v>
      </c>
      <c r="AY31" s="437" t="e">
        <f t="shared" si="16"/>
        <v>#REF!</v>
      </c>
      <c r="AZ31" s="437" t="e">
        <f>(0.12)*(5000)*(LN((VLOOKUP(O31,CONDUCTORES!$B$9:$AF$23,24,FALSE))/(VLOOKUP(O31,CONDUCTORES!$B$9:$D$23,3,FALSE))))</f>
        <v>#REF!</v>
      </c>
      <c r="BA31" s="437" t="e">
        <f>+($AW$3)-(((K31^2)*(VLOOKUP(O31,CONDUCTORES!$B$9:$K$23,7,FALSE)))+(0.5*AY31))*(AZ31)</f>
        <v>#REF!</v>
      </c>
      <c r="BB31" s="441" t="e">
        <f t="shared" si="17"/>
        <v>#REF!</v>
      </c>
      <c r="BC31" s="437" t="e">
        <f>+SQRT(((8*PI()*60)/(VLOOKUP(O31,CONDUCTORES!$B$9:$K$23,9,FALSE)))*(0.0000001)*(1))</f>
        <v>#REF!</v>
      </c>
      <c r="BD31" s="437" t="e">
        <f>+SQRT(((8*PI()*60)/(VLOOKUP(O31,CONDUCTORES!$B$9:$K$23,9,FALSE)))*(0.0000001)*(1))</f>
        <v>#REF!</v>
      </c>
      <c r="BE31" s="442" t="e">
        <f>((BD31^4)/((192)+((0.8)*(BD31^4))))*(((VLOOKUP(O31,CONDUCTORES!$B$9:$K$23,9,FALSE))/(1))^2)*(2.9)</f>
        <v>#REF!</v>
      </c>
      <c r="BF31" s="442" t="e">
        <f t="shared" si="18"/>
        <v>#REF!</v>
      </c>
      <c r="BG31" s="437" t="e">
        <f t="shared" si="19"/>
        <v>#REF!</v>
      </c>
      <c r="BH31" s="437">
        <v>0</v>
      </c>
      <c r="BI31" s="434" t="e">
        <f>(IF(AE31="Multiconductor",VLOOKUP(AP31,CONDUCTORES!$A$24:$G$62,6,FALSE),VLOOKUP(AO31,CONDUCTORES!$B$9:$F$23,5,FALSE)))*(U31)</f>
        <v>#REF!</v>
      </c>
      <c r="BJ31" s="434" t="e">
        <f>(IF(AE31="Multiconductor",VLOOKUP(AR31,CONDUCTORES!$A$24:$G$62,6,FALSE),VLOOKUP(AQ31,CONDUCTORES!$B$9:$F$23,5,FALSE)))*(U31)</f>
        <v>#REF!</v>
      </c>
      <c r="BK31" s="1194" t="e">
        <f t="shared" si="20"/>
        <v>#REF!</v>
      </c>
      <c r="BL31" s="443" t="e">
        <f t="shared" si="21"/>
        <v>#REF!</v>
      </c>
      <c r="BM31" s="443" t="e">
        <f t="shared" si="22"/>
        <v>#REF!</v>
      </c>
      <c r="BN31" s="1192" t="e">
        <f t="shared" si="23"/>
        <v>#REF!</v>
      </c>
      <c r="BO31" s="1198" t="e">
        <f t="shared" si="24"/>
        <v>#REF!</v>
      </c>
      <c r="BP31" s="444" t="e">
        <f t="shared" si="25"/>
        <v>#REF!</v>
      </c>
      <c r="BQ31" s="1193" t="e">
        <f>VLOOKUP(AP31,COSTOS!$A$7:$I$60,4,FALSE)</f>
        <v>#REF!</v>
      </c>
      <c r="BR31" s="1193" t="e">
        <f>VLOOKUP(AP31,COSTOS!$A$7:$I$60,5,FALSE)</f>
        <v>#REF!</v>
      </c>
      <c r="BS31" s="1193" t="e">
        <f t="shared" si="26"/>
        <v>#REF!</v>
      </c>
      <c r="BT31" s="1192" t="e">
        <f t="shared" si="27"/>
        <v>#REF!</v>
      </c>
      <c r="BU31" s="444" t="e">
        <f>VLOOKUP(AR31,COSTOS!$A$7:$I$60,4,FALSE)</f>
        <v>#REF!</v>
      </c>
      <c r="BV31" s="444" t="e">
        <f>VLOOKUP(AR31,COSTOS!$A$7:$I$60,5,FALSE)</f>
        <v>#REF!</v>
      </c>
      <c r="BW31" s="1198" t="e">
        <f t="shared" si="28"/>
        <v>#REF!</v>
      </c>
      <c r="BX31" s="1198" t="e">
        <f t="shared" si="29"/>
        <v>#REF!</v>
      </c>
      <c r="BY31" s="444" t="e">
        <f>VLOOKUP(AG31,COSTOS!$A$7:$I$60,4,FALSE)</f>
        <v>#REF!</v>
      </c>
      <c r="BZ31" s="444" t="e">
        <f>VLOOKUP(AG31,COSTOS!$A$7:$I$60,5,FALSE)</f>
        <v>#REF!</v>
      </c>
      <c r="CA31" s="444" t="e">
        <f t="shared" si="30"/>
        <v>#REF!</v>
      </c>
      <c r="CB31" s="444" t="e">
        <f t="shared" si="31"/>
        <v>#REF!</v>
      </c>
      <c r="CC31" s="444" t="e">
        <f t="shared" si="32"/>
        <v>#REF!</v>
      </c>
      <c r="CD31" s="1198" t="e">
        <f t="shared" si="33"/>
        <v>#REF!</v>
      </c>
      <c r="CE31" s="444" t="e">
        <f t="shared" si="34"/>
        <v>#REF!</v>
      </c>
      <c r="CF31" s="445"/>
    </row>
    <row r="32" spans="2:84" s="408" customFormat="1" ht="15.6" hidden="1" x14ac:dyDescent="0.25">
      <c r="B32" s="372">
        <v>10</v>
      </c>
      <c r="C32" s="852" t="str">
        <f>+_xlfn.CONCAT($C$18,".",SUBTOTAL(103,$X$19:X32))</f>
        <v>5.2.7</v>
      </c>
      <c r="D32" s="1040" t="e">
        <f>+'H2-CONDUCTORES DE BT'!#REF!</f>
        <v>#REF!</v>
      </c>
      <c r="E32" s="1088" t="e">
        <f>+VLOOKUP(D32,'H2-CONDUCTORES DE BT'!$D$2:$BL$155,2,FALSE)</f>
        <v>#REF!</v>
      </c>
      <c r="F32" s="1160" t="e">
        <f>+VLOOKUP(D32,'H2-CONDUCTORES DE BT'!$D$2:$BL$155,6,FALSE)</f>
        <v>#REF!</v>
      </c>
      <c r="G32" s="1093" t="e">
        <f>+VLOOKUP(D32,'H2-CONDUCTORES DE BT'!$D$2:$BL$155,7,FALSE)</f>
        <v>#REF!</v>
      </c>
      <c r="H32" s="1161" t="e">
        <f>+VLOOKUP(D32,'H2-CONDUCTORES DE BT'!$D$2:$BL$155,8,FALSE)</f>
        <v>#REF!</v>
      </c>
      <c r="I32" s="1093" t="e">
        <f>+VLOOKUP(D32,'H2-CONDUCTORES DE BT'!$D$2:$BL$155,9,FALSE)</f>
        <v>#REF!</v>
      </c>
      <c r="J32" s="1162" t="e">
        <f>+VLOOKUP(D32,'H2-CONDUCTORES DE BT'!$D$2:$BL$155,10,FALSE)</f>
        <v>#REF!</v>
      </c>
      <c r="K32" s="1163" t="e">
        <f>+VLOOKUP(D32,'H2-CONDUCTORES DE BT'!$D$2:$BL$155,28,FALSE)</f>
        <v>#REF!</v>
      </c>
      <c r="L32" s="1164" t="e">
        <f>+VLOOKUP(D32,'H2-CONDUCTORES DE BT'!$D$2:$BL$155,11,FALSE)</f>
        <v>#REF!</v>
      </c>
      <c r="M32" s="1063" t="e">
        <f>+VLOOKUP(D32,'H2-CONDUCTORES DE BT'!$D$2:$BL$155,4,FALSE)</f>
        <v>#REF!</v>
      </c>
      <c r="N32" s="1165" t="e">
        <f t="shared" si="35"/>
        <v>#REF!</v>
      </c>
      <c r="O32" s="1055" t="e">
        <f>IF(VLOOKUP(D32,'H2-CONDUCTORES DE BT'!$D$2:$BL$155,57,FALSE)="Al",VLOOKUP(D32,'H2-CONDUCTORES DE BT'!$D$2:$BL$155,55,FALSE),VLOOKUP(D32,'H2-CONDUCTORES DE BT'!$D$2:$BL$155,36,FALSE))</f>
        <v>#REF!</v>
      </c>
      <c r="P32" s="1091" t="e">
        <f t="shared" si="36"/>
        <v>#REF!</v>
      </c>
      <c r="Q32" s="1166"/>
      <c r="R32" s="1155" t="e">
        <f t="shared" si="5"/>
        <v>#REF!</v>
      </c>
      <c r="S32" s="1155" t="e">
        <f t="shared" si="6"/>
        <v>#REF!</v>
      </c>
      <c r="T32" s="1155" t="e">
        <f t="shared" si="7"/>
        <v>#REF!</v>
      </c>
      <c r="U32" s="1159">
        <v>6</v>
      </c>
      <c r="V32" s="1158" t="s">
        <v>966</v>
      </c>
      <c r="W32" s="1159">
        <v>4</v>
      </c>
      <c r="X32" s="1158" t="s">
        <v>968</v>
      </c>
      <c r="Y32" s="1168" t="e">
        <f t="shared" si="37"/>
        <v>#REF!</v>
      </c>
      <c r="Z32" s="499" t="e">
        <f>+VLOOKUP(D32,'H2-CONDUCTORES DE BT'!$D$2:$BL$155,37,FALSE)</f>
        <v>#REF!</v>
      </c>
      <c r="AA32" s="343" t="e">
        <f>+VLOOKUP(D32,'H2-CONDUCTORES DE BT'!$D$2:$BL$155,55,FALSE)</f>
        <v>#REF!</v>
      </c>
      <c r="AB32" s="343" t="e">
        <f>IF(AE32="Multiconductor","N/A",IF(VLOOKUP(D32,'H2-CONDUCTORES DE BT'!$D$2:$BL$155,50,FALSE)&lt;&gt;1,VLOOKUP(D32,'H2-CONDUCTORES DE BT'!$D$2:$BL$155,50,FALSE),IF(VLOOKUP(D32,'H2-CONDUCTORES DE BT'!$D$2:$BL$155,23,FALSE)="BANDEJA",1,IF(VLOOKUP(D32,'H2-CONDUCTORES DE BT'!$D$2:$BL$155,24,FALSE)&lt;&gt;3,IF(((VLOOKUP(D32,'H2-CONDUCTORES DE BT'!$D$2:$BL$155,24,FALSE))/3)=Z32,1),VLOOKUP(D32,'H2-CONDUCTORES DE BT'!$D$2:$BL$155,37,FALSE)))))</f>
        <v>#REF!</v>
      </c>
      <c r="AC32" s="343" t="e">
        <f>IF(AE32="Multiconductor","N/A",(IF((VLOOKUP(D32,'H2-CONDUCTORES DE BT'!$D$2:$BL$155,40,FALSE))="Al",IF((VLOOKUP(D32,'H2-CONDUCTORES DE BT'!$D$2:$BL$155,51,FALSE))="No",LOOKUP((VLOOKUP(D32,'H2-CONDUCTORES DE BT'!$D$2:$BL$155,16,FALSE)),CONDUCTORES!$A$111:$A$131,CONDUCTORES!$C$111:$C$131),(VLOOKUP(D32,'H2-CONDUCTORES DE BT'!$D$2:$BL$155,51,FALSE))),IF((VLOOKUP(D32,'H2-CONDUCTORES DE BT'!$D$2:$BL$155,51,FALSE))="No",LOOKUP((VLOOKUP(D32,'H2-CONDUCTORES DE BT'!$D$2:$BL$155,16,FALSE)),CONDUCTORES!$A$111:$A$131,CONDUCTORES!$B$111:$B$131),(VLOOKUP(D32,'H2-CONDUCTORES DE BT'!$D$2:$BL$155,51,FALSE))))))</f>
        <v>#REF!</v>
      </c>
      <c r="AD32" s="340">
        <f t="shared" si="10"/>
        <v>2</v>
      </c>
      <c r="AE32" s="464" t="e">
        <f>+VLOOKUP(D32,'H2-CONDUCTORES DE BT'!$D$2:$BL$155,38,FALSE)</f>
        <v>#REF!</v>
      </c>
      <c r="AF32" s="531" t="e">
        <f>IF(AE32="Monopolar","N/A",VLOOKUP(D32,'H2-CONDUCTORES DE BT'!$D$2:$BL$192,39,FALSE))</f>
        <v>#REF!</v>
      </c>
      <c r="AG32" s="437" t="e">
        <f>+VLOOKUP(D32,'H2-CONDUCTORES DE BT'!$D$2:$CL$492,70,FALSE)</f>
        <v>#REF!</v>
      </c>
      <c r="AH32" s="434" t="e">
        <f>(VLOOKUP(AG32,CONDUCTORES!$A$9:$G$62,6,FALSE))*(Z32)</f>
        <v>#REF!</v>
      </c>
      <c r="AI32" s="434" t="e">
        <f>1000*((((K32^2)*AT32*AU32*AV32*(1+($BD$4*($BB$4-20))))/AW32)^0.5)</f>
        <v>#REF!</v>
      </c>
      <c r="AJ32" s="434" t="e">
        <f>+IF(U32=1,"N/A",IF((AI32/U32)&lt;CONDUCTORES!$F$9,CONDUCTORES!$F$9,IF((AI32/U32)&lt;CONDUCTORES!$F$10,CONDUCTORES!$F$10,IF((AI32/U32)&lt;CONDUCTORES!$F$11,CONDUCTORES!$F$11,IF((AI32/U32)&lt;CONDUCTORES!$F$12,CONDUCTORES!$F$12,IF((AI32/U32)&lt;CONDUCTORES!$F$13,CONDUCTORES!$F$13,IF((AI32/U32)&lt;CONDUCTORES!$F$14,CONDUCTORES!$F$14,IF((AI32/U32)&lt;CONDUCTORES!$F$15,CONDUCTORES!$F$15,IF((AI32/U32)&lt;CONDUCTORES!$F$16,CONDUCTORES!$F$16,IF((AI32/U32)&lt;CONDUCTORES!$F$17,CONDUCTORES!$F$17,IF((AI32/U32)&lt;CONDUCTORES!$F$18,CONDUCTORES!$F$18,IF((AI32/U32)&lt;CONDUCTORES!$F$19,CONDUCTORES!$F$19,IF((AI32/U32)&lt;CONDUCTORES!$F$20,CONDUCTORES!$F$20,IF((AI32/U32)&lt;CONDUCTORES!$F$21,CONDUCTORES!$F$21,IF((AI32/U32)&lt;CONDUCTORES!$F$22,CONDUCTORES!$F$22,CONDUCTORES!$F$23)))))))))))))))</f>
        <v>#REF!</v>
      </c>
      <c r="AK32" s="434" t="e">
        <f>IF(AF32="2/C  -",IF(AI32&lt;CONDUCTORES!$F$33,CONDUCTORES!$F$33,IF(AI32&lt;CONDUCTORES!$F$36,CONDUCTORES!$F$36,IF(AI32&lt;CONDUCTORES!$F$39,CONDUCTORES!$F$39,IF(AI32&lt;CONDUCTORES!$F$42,CONDUCTORES!$F$42,IF(AI32&lt;CONDUCTORES!$F$45,CONDUCTORES!$F$45,IF(AI32&lt;CONDUCTORES!$F$48,CONDUCTORES!$F$48,IF(AI32&lt;CONDUCTORES!$F$51,CONDUCTORES!$F$51,IF(AI32&lt;CONDUCTORES!$F$54,CONDUCTORES!$F$54,IF(AI32&lt;CONDUCTORES!$F$57,CONDUCTORES!$F$57,CONDUCTORES!$F$60))))))))),0)</f>
        <v>#REF!</v>
      </c>
      <c r="AL32" s="434" t="e">
        <f>IF(AF32="3/C  -",IF(AI32&lt;CONDUCTORES!$F$34,CONDUCTORES!$F$34,IF(AI32&lt;CONDUCTORES!$F$37,CONDUCTORES!$F$37,IF(AI32&lt;CONDUCTORES!$F$40,CONDUCTORES!$F$40,IF(AI32&lt;CONDUCTORES!$F$43,CONDUCTORES!$F$43,IF(AI32&lt;CONDUCTORES!$F$46,CONDUCTORES!$F$46,IF(AI32&lt;CONDUCTORES!$F$49,CONDUCTORES!$F$49,IF(AI32&lt;CONDUCTORES!$F$52,CONDUCTORES!$F$52,IF(AI32&lt;CONDUCTORES!$F$55,CONDUCTORES!$F$55,IF(AI32&lt;CONDUCTORES!$F$58,CONDUCTORES!$F$58,CONDUCTORES!$F$61))))))))),0)</f>
        <v>#REF!</v>
      </c>
      <c r="AM32" s="434" t="e">
        <f>IF(AF32="4/C  -",IF(AI32&lt;CONDUCTORES!$F$35,CONDUCTORES!$F$35,IF(AI32&lt;CONDUCTORES!$F$38,CONDUCTORES!$F$38,IF(AI32&lt;CONDUCTORES!$F$41,CONDUCTORES!$F$41,IF(AI32&lt;CONDUCTORES!$F$44,CONDUCTORES!$F$44,IF(AI32&lt;CONDUCTORES!$F$47,CONDUCTORES!$F$47,IF(AI32&lt;CONDUCTORES!$F$50,CONDUCTORES!$F$50,IF(AI32&lt;CONDUCTORES!$F$53,CONDUCTORES!$F$53,IF(AI32&lt;CONDUCTORES!$F$56,CONDUCTORES!$F$56,IF(AI32&lt;CONDUCTORES!$F$59,CONDUCTORES!$F$59,CONDUCTORES!$F$62))))))))),0)</f>
        <v>#REF!</v>
      </c>
      <c r="AN32" s="436" t="e">
        <f>IF(AE32="Multiconductor",IF(AF32="2/C  -",AK32,IF(AF32="3/C  -",AL32,IF(AF32="4/C  -",AM32,"NO SE CÁLCULO, REVISAR"))),IF(AI32&lt;CONDUCTORES!$F$9,CONDUCTORES!$F$9,IF(AI32&lt;CONDUCTORES!$F$10,CONDUCTORES!$F$10,IF(AI32&lt;CONDUCTORES!$F$11,CONDUCTORES!$F$11,IF(AI32&lt;CONDUCTORES!$F$12,CONDUCTORES!$F$12,IF(AI32&lt;CONDUCTORES!$F$13,CONDUCTORES!$F$13,IF(AI32&lt;CONDUCTORES!$F$14,CONDUCTORES!$F$14,IF(AI32&lt;CONDUCTORES!$F$15,CONDUCTORES!$F$15,IF(AI32&lt;CONDUCTORES!$F$16,CONDUCTORES!$F$16,IF(AI32&lt;CONDUCTORES!$F$17,CONDUCTORES!$F$17,IF(AI32&lt;CONDUCTORES!$F$18,CONDUCTORES!$F$18,IF(AI32&lt;CONDUCTORES!$F$19,CONDUCTORES!$F$19,IF(AI32&lt;CONDUCTORES!$F$20,CONDUCTORES!$F$20,IF(AI32&lt;CONDUCTORES!$F$21,CONDUCTORES!$F$21,IF(AI32&lt;CONDUCTORES!$F$22,CONDUCTORES!$F$22,CONDUCTORES!$F$23)))))))))))))))</f>
        <v>#REF!</v>
      </c>
      <c r="AO32" s="1197" t="str">
        <f>+V32</f>
        <v>500 kcmil</v>
      </c>
      <c r="AP32" s="1196" t="e" cm="1">
        <f t="array" ref="AP32">IF(AE32="Multiconductor",INDEX(CONDUCTORES!$A$24:$A$62,MATCH(1,(CONDUCTORES!$B$24:$B$62=AO32)*(CONDUCTORES!$C$24:$C$62=AF32),0)),VLOOKUP(AO32,CONDUCTORES!$B$9:$X$23,23,FALSE))</f>
        <v>#REF!</v>
      </c>
      <c r="AQ32" s="1197" t="str">
        <f>+X32</f>
        <v>1000 kcmil</v>
      </c>
      <c r="AR32" s="437" t="e" cm="1">
        <f t="array" ref="AR32">IF(AE32="Multiconductor",INDEX(CONDUCTORES!$A$24:$A$62,MATCH(1,(CONDUCTORES!$B$24:$B$62=AQ32)*(CONDUCTORES!$C$24:$C$62=AF32),0)),VLOOKUP(AQ32,CONDUCTORES!$B$9:$X$23,23,FALSE))</f>
        <v>#REF!</v>
      </c>
      <c r="AS32" s="438" t="e">
        <f>+K32</f>
        <v>#REF!</v>
      </c>
      <c r="AT32" s="1195" t="e">
        <f t="shared" si="1"/>
        <v>#REF!</v>
      </c>
      <c r="AU32" s="439">
        <f t="shared" si="2"/>
        <v>3.03E-8</v>
      </c>
      <c r="AV32" s="437" t="e">
        <f>+(1+BE32+BF32)*(1+BG32+BH32)</f>
        <v>#REF!</v>
      </c>
      <c r="AW32" s="440" t="e">
        <f>VLOOKUP(AG32,COSTOS!$A$7:$Z$94,7,FALSE)</f>
        <v>#REF!</v>
      </c>
      <c r="AX32" s="437" t="e">
        <f>((2.5)/(18*LN((VLOOKUP(O32,CONDUCTORES!$B$9:$AF$23,24,FALSE))/(VLOOKUP(O32,CONDUCTORES!$B$9:$D$23,3,FALSE)))))*-0.000000001</f>
        <v>#REF!</v>
      </c>
      <c r="AY32" s="437" t="e">
        <f>+(2*PI()*60)*(AX32)*(H32^2)*(0.001)</f>
        <v>#REF!</v>
      </c>
      <c r="AZ32" s="437" t="e">
        <f>(0.12)*(5000)*(LN((VLOOKUP(O32,CONDUCTORES!$B$9:$AF$23,24,FALSE))/(VLOOKUP(O32,CONDUCTORES!$B$9:$D$23,3,FALSE))))</f>
        <v>#REF!</v>
      </c>
      <c r="BA32" s="437" t="e">
        <f>+($AW$3)-(((K32^2)*(VLOOKUP(O32,CONDUCTORES!$B$9:$K$23,7,FALSE)))+(0.5*AY32))*(AZ32)</f>
        <v>#REF!</v>
      </c>
      <c r="BB32" s="441" t="e">
        <f>1+$BD$4*(BA32-20)</f>
        <v>#REF!</v>
      </c>
      <c r="BC32" s="437" t="e">
        <f>+SQRT(((8*PI()*60)/(VLOOKUP(O32,CONDUCTORES!$B$9:$K$23,9,FALSE)))*(0.0000001)*(1))</f>
        <v>#REF!</v>
      </c>
      <c r="BD32" s="437" t="e">
        <f>+SQRT(((8*PI()*60)/(VLOOKUP(O32,CONDUCTORES!$B$9:$K$23,9,FALSE)))*(0.0000001)*(1))</f>
        <v>#REF!</v>
      </c>
      <c r="BE32" s="442" t="e">
        <f>((BD32^4)/((192)+((0.8)*(BD32^4))))*(((VLOOKUP(O32,CONDUCTORES!$B$9:$K$23,9,FALSE))/(1))^2)*(2.9)</f>
        <v>#REF!</v>
      </c>
      <c r="BF32" s="442" t="e">
        <f>+(BC32^4)/((192)+((0.8)*(BC32^4)))</f>
        <v>#REF!</v>
      </c>
      <c r="BG32" s="437" t="e">
        <f>+((BB32)/(-AZ32))*(1/(1+((BB32)/(52.9))))</f>
        <v>#REF!</v>
      </c>
      <c r="BH32" s="437">
        <v>0</v>
      </c>
      <c r="BI32" s="434" t="e">
        <f>(IF(AE32="Multiconductor",VLOOKUP(AP32,CONDUCTORES!$A$24:$G$62,6,FALSE),VLOOKUP(AO32,CONDUCTORES!$B$9:$F$23,5,FALSE)))*(U32)</f>
        <v>#REF!</v>
      </c>
      <c r="BJ32" s="434" t="e">
        <f>(IF(AE32="Multiconductor",VLOOKUP(AR32,CONDUCTORES!$A$24:$G$62,6,FALSE),VLOOKUP(AQ32,CONDUCTORES!$B$9:$F$23,5,FALSE)))*(U32)</f>
        <v>#REF!</v>
      </c>
      <c r="BK32" s="1194" t="e">
        <f>+(AU32*AV32*(1+$BD$4*($BB$4-20))/(BI32))*10^6</f>
        <v>#REF!</v>
      </c>
      <c r="BL32" s="443" t="e">
        <f>+(AU32*AV32*(1+$BD$4*($BB$4-20))/(BJ32))*10^6</f>
        <v>#REF!</v>
      </c>
      <c r="BM32" s="443" t="e">
        <f>+(AU32*AV32*(1+$BD$4*($BB$4-20))/(AH32))*10^6</f>
        <v>#REF!</v>
      </c>
      <c r="BN32" s="1192" t="e">
        <f>(M32)*((K32)^2)*(BK32)*(AT32)</f>
        <v>#REF!</v>
      </c>
      <c r="BO32" s="1198" t="e">
        <f>(M32)*((K32)^2)*(BL32)*(AT32)</f>
        <v>#REF!</v>
      </c>
      <c r="BP32" s="444" t="e">
        <f>(M32)*((K32)^2)*(BM32)*(AT32)</f>
        <v>#REF!</v>
      </c>
      <c r="BQ32" s="1193" t="e">
        <f>VLOOKUP(AP32,COSTOS!$A$7:$I$60,4,FALSE)</f>
        <v>#REF!</v>
      </c>
      <c r="BR32" s="1193" t="e">
        <f>VLOOKUP(AP32,COSTOS!$A$7:$I$60,5,FALSE)</f>
        <v>#REF!</v>
      </c>
      <c r="BS32" s="1193" t="e">
        <f>+BQ32+BR32</f>
        <v>#REF!</v>
      </c>
      <c r="BT32" s="1192" t="e">
        <f>+BS32*M32*(IF(AE32="Monopolar",U32*I32,U32*Z32))</f>
        <v>#REF!</v>
      </c>
      <c r="BU32" s="444" t="e">
        <f>VLOOKUP(AR32,COSTOS!$A$7:$I$60,4,FALSE)</f>
        <v>#REF!</v>
      </c>
      <c r="BV32" s="444" t="e">
        <f>VLOOKUP(AR32,COSTOS!$A$7:$I$60,5,FALSE)</f>
        <v>#REF!</v>
      </c>
      <c r="BW32" s="1198" t="e">
        <f>+BU32+BV32</f>
        <v>#REF!</v>
      </c>
      <c r="BX32" s="1198" t="e">
        <f>+BW32*M32*(IF(AE32="Monopolar",W32*I32,U32*Z32))</f>
        <v>#REF!</v>
      </c>
      <c r="BY32" s="444" t="e">
        <f>VLOOKUP(AG32,COSTOS!$A$7:$I$60,4,FALSE)</f>
        <v>#REF!</v>
      </c>
      <c r="BZ32" s="444" t="e">
        <f>VLOOKUP(AG32,COSTOS!$A$7:$I$60,5,FALSE)</f>
        <v>#REF!</v>
      </c>
      <c r="CA32" s="444" t="e">
        <f>+BY32+BZ32</f>
        <v>#REF!</v>
      </c>
      <c r="CB32" s="444" t="e">
        <f>+CA32*M32*(IF(AE32="Monopolar",N32*I32,N32*Z32))</f>
        <v>#REF!</v>
      </c>
      <c r="CC32" s="444" t="e">
        <f>(BT32)+(BN32)</f>
        <v>#REF!</v>
      </c>
      <c r="CD32" s="1198" t="e">
        <f>(BX32)+(BO32)</f>
        <v>#REF!</v>
      </c>
      <c r="CE32" s="444" t="e">
        <f>(CB32)+(BP32)</f>
        <v>#REF!</v>
      </c>
      <c r="CF32" s="445"/>
    </row>
    <row r="33" spans="2:84" s="408" customFormat="1" ht="15.6" hidden="1" x14ac:dyDescent="0.25">
      <c r="B33" s="372">
        <v>10</v>
      </c>
      <c r="C33" s="852" t="str">
        <f>+_xlfn.CONCAT($C$18,".",SUBTOTAL(103,$X$19:X33))</f>
        <v>5.2.7</v>
      </c>
      <c r="D33" s="1040" t="e">
        <f>+'H2-CONDUCTORES DE BT'!#REF!</f>
        <v>#REF!</v>
      </c>
      <c r="E33" s="1088" t="e">
        <f>+VLOOKUP(D33,'H2-CONDUCTORES DE BT'!$D$2:$BL$155,2,FALSE)</f>
        <v>#REF!</v>
      </c>
      <c r="F33" s="1160" t="e">
        <f>+VLOOKUP(D33,'H2-CONDUCTORES DE BT'!$D$2:$BL$155,6,FALSE)</f>
        <v>#REF!</v>
      </c>
      <c r="G33" s="1093" t="e">
        <f>+VLOOKUP(D33,'H2-CONDUCTORES DE BT'!$D$2:$BL$155,7,FALSE)</f>
        <v>#REF!</v>
      </c>
      <c r="H33" s="1161" t="e">
        <f>+VLOOKUP(D33,'H2-CONDUCTORES DE BT'!$D$2:$BL$155,8,FALSE)</f>
        <v>#REF!</v>
      </c>
      <c r="I33" s="1093" t="e">
        <f>+VLOOKUP(D33,'H2-CONDUCTORES DE BT'!$D$2:$BL$155,9,FALSE)</f>
        <v>#REF!</v>
      </c>
      <c r="J33" s="1162" t="e">
        <f>+VLOOKUP(D33,'H2-CONDUCTORES DE BT'!$D$2:$BL$155,10,FALSE)</f>
        <v>#REF!</v>
      </c>
      <c r="K33" s="1163" t="e">
        <f>+VLOOKUP(D33,'H2-CONDUCTORES DE BT'!$D$2:$BL$155,28,FALSE)</f>
        <v>#REF!</v>
      </c>
      <c r="L33" s="1164" t="e">
        <f>+VLOOKUP(D33,'H2-CONDUCTORES DE BT'!$D$2:$BL$155,11,FALSE)</f>
        <v>#REF!</v>
      </c>
      <c r="M33" s="1063" t="e">
        <f>+VLOOKUP(D33,'H2-CONDUCTORES DE BT'!$D$2:$BL$155,4,FALSE)</f>
        <v>#REF!</v>
      </c>
      <c r="N33" s="1165">
        <v>1</v>
      </c>
      <c r="O33" s="1055" t="e">
        <f>IF(VLOOKUP(D33,'H2-CONDUCTORES DE BT'!$D$2:$BL$155,57,FALSE)="Al",VLOOKUP(D33,'H2-CONDUCTORES DE BT'!$D$2:$BL$155,55,FALSE),VLOOKUP(D33,'H2-CONDUCTORES DE BT'!$D$2:$BL$155,36,FALSE))</f>
        <v>#REF!</v>
      </c>
      <c r="P33" s="1091" t="e">
        <f t="shared" ref="P33" si="38">IF(AE33="Cable Armado","Cu","Al")</f>
        <v>#REF!</v>
      </c>
      <c r="Q33" s="1166"/>
      <c r="R33" s="1167" t="e">
        <f>+CC33</f>
        <v>#REF!</v>
      </c>
      <c r="S33" s="1167" t="e">
        <f>+CD33</f>
        <v>#REF!</v>
      </c>
      <c r="T33" s="1167" t="e">
        <f t="shared" ref="T33" si="39">+CE33</f>
        <v>#REF!</v>
      </c>
      <c r="U33" s="1159">
        <v>1</v>
      </c>
      <c r="V33" s="1158" t="s">
        <v>808</v>
      </c>
      <c r="W33" s="1159">
        <v>1</v>
      </c>
      <c r="X33" s="1158" t="s">
        <v>598</v>
      </c>
      <c r="Y33" s="1168" t="e">
        <f>IF(MIN(R33:T33)=T33,"OPCIÓN TÉCNICA",IF(MIN(R33:T33)=S33,"OPCIÓN 2","OPCIÓN 1"))</f>
        <v>#REF!</v>
      </c>
      <c r="Z33" s="499" t="e">
        <f>+VLOOKUP(D33,'H2-CONDUCTORES DE BT'!$D$2:$BL$155,37,FALSE)</f>
        <v>#REF!</v>
      </c>
      <c r="AA33" s="343" t="e">
        <f>+VLOOKUP(D33,'H2-CONDUCTORES DE BT'!$D$2:$BL$155,55,FALSE)</f>
        <v>#REF!</v>
      </c>
      <c r="AB33" s="343" t="e">
        <f>IF(AE33="Multiconductor","N/A",IF(VLOOKUP(D33,'H2-CONDUCTORES DE BT'!$D$2:$BL$155,50,FALSE)&lt;&gt;1,VLOOKUP(D33,'H2-CONDUCTORES DE BT'!$D$2:$BL$155,50,FALSE),IF(VLOOKUP(D33,'H2-CONDUCTORES DE BT'!$D$2:$BL$155,23,FALSE)="BANDEJA",1,IF(VLOOKUP(D33,'H2-CONDUCTORES DE BT'!$D$2:$BL$155,24,FALSE)&lt;&gt;3,IF(((VLOOKUP(D33,'H2-CONDUCTORES DE BT'!$D$2:$BL$155,24,FALSE))/3)=Z33,1),VLOOKUP(D33,'H2-CONDUCTORES DE BT'!$D$2:$BL$155,37,FALSE)))))</f>
        <v>#REF!</v>
      </c>
      <c r="AC33" s="343" t="e">
        <f>IF(AE33="Multiconductor","N/A",(IF((VLOOKUP(D33,'H2-CONDUCTORES DE BT'!$D$2:$BL$155,40,FALSE))="Al",IF((VLOOKUP(D33,'H2-CONDUCTORES DE BT'!$D$2:$BL$155,51,FALSE))="No",LOOKUP((VLOOKUP(D33,'H2-CONDUCTORES DE BT'!$D$2:$BL$155,16,FALSE)),CONDUCTORES!$A$111:$A$131,CONDUCTORES!$C$111:$C$131),(VLOOKUP(D33,'H2-CONDUCTORES DE BT'!$D$2:$BL$155,51,FALSE))),IF((VLOOKUP(D33,'H2-CONDUCTORES DE BT'!$D$2:$BL$155,51,FALSE))="No",LOOKUP((VLOOKUP(D33,'H2-CONDUCTORES DE BT'!$D$2:$BL$155,16,FALSE)),CONDUCTORES!$A$111:$A$131,CONDUCTORES!$B$111:$B$131),(VLOOKUP(D33,'H2-CONDUCTORES DE BT'!$D$2:$BL$155,51,FALSE))))))</f>
        <v>#REF!</v>
      </c>
      <c r="AD33" s="340">
        <f t="shared" ref="AD33" si="40">LEN(C33)-LEN(SUBSTITUTE(C33,IF(ISNUMBER(FIND(".",C33)),".",","),""))</f>
        <v>2</v>
      </c>
      <c r="AE33" s="464" t="e">
        <f>+VLOOKUP(D33,'H2-CONDUCTORES DE BT'!$D$2:$BL$155,38,FALSE)</f>
        <v>#REF!</v>
      </c>
      <c r="AF33" s="531" t="e">
        <f>IF(AE33="Monopolar","N/A",VLOOKUP(D33,'H2-CONDUCTORES DE BT'!$D$2:$BL$192,39,FALSE))</f>
        <v>#REF!</v>
      </c>
      <c r="AG33" s="437" t="e">
        <f>+VLOOKUP(D33,'H2-CONDUCTORES DE BT'!$D$2:$CL$492,70,FALSE)</f>
        <v>#REF!</v>
      </c>
      <c r="AH33" s="434" t="e">
        <f>(VLOOKUP(AG33,CONDUCTORES!$A$9:$G$62,6,FALSE))*(Z33)</f>
        <v>#REF!</v>
      </c>
      <c r="AI33" s="434" t="e">
        <f>1000*((((K33^2)*AT33*AU33*AV33*(1+($BD$4*($BB$4-20))))/AW33)^0.5)</f>
        <v>#REF!</v>
      </c>
      <c r="AJ33" s="434" t="str">
        <f>+IF(U33=1,"N/A",IF((AI33/U33)&lt;CONDUCTORES!$F$9,CONDUCTORES!$F$9,IF((AI33/U33)&lt;CONDUCTORES!$F$10,CONDUCTORES!$F$10,IF((AI33/U33)&lt;CONDUCTORES!$F$11,CONDUCTORES!$F$11,IF((AI33/U33)&lt;CONDUCTORES!$F$12,CONDUCTORES!$F$12,IF((AI33/U33)&lt;CONDUCTORES!$F$13,CONDUCTORES!$F$13,IF((AI33/U33)&lt;CONDUCTORES!$F$14,CONDUCTORES!$F$14,IF((AI33/U33)&lt;CONDUCTORES!$F$15,CONDUCTORES!$F$15,IF((AI33/U33)&lt;CONDUCTORES!$F$16,CONDUCTORES!$F$16,IF((AI33/U33)&lt;CONDUCTORES!$F$17,CONDUCTORES!$F$17,IF((AI33/U33)&lt;CONDUCTORES!$F$18,CONDUCTORES!$F$18,IF((AI33/U33)&lt;CONDUCTORES!$F$19,CONDUCTORES!$F$19,IF((AI33/U33)&lt;CONDUCTORES!$F$20,CONDUCTORES!$F$20,IF((AI33/U33)&lt;CONDUCTORES!$F$21,CONDUCTORES!$F$21,IF((AI33/U33)&lt;CONDUCTORES!$F$22,CONDUCTORES!$F$22,CONDUCTORES!$F$23)))))))))))))))</f>
        <v>N/A</v>
      </c>
      <c r="AK33" s="434" t="e">
        <f>IF(AF33="2/C  -",IF(AI33&lt;CONDUCTORES!$F$33,CONDUCTORES!$F$33,IF(AI33&lt;CONDUCTORES!$F$36,CONDUCTORES!$F$36,IF(AI33&lt;CONDUCTORES!$F$39,CONDUCTORES!$F$39,IF(AI33&lt;CONDUCTORES!$F$42,CONDUCTORES!$F$42,IF(AI33&lt;CONDUCTORES!$F$45,CONDUCTORES!$F$45,IF(AI33&lt;CONDUCTORES!$F$48,CONDUCTORES!$F$48,IF(AI33&lt;CONDUCTORES!$F$51,CONDUCTORES!$F$51,IF(AI33&lt;CONDUCTORES!$F$54,CONDUCTORES!$F$54,IF(AI33&lt;CONDUCTORES!$F$57,CONDUCTORES!$F$57,CONDUCTORES!$F$60))))))))),0)</f>
        <v>#REF!</v>
      </c>
      <c r="AL33" s="434" t="e">
        <f>IF(AF33="3/C  -",IF(AI33&lt;CONDUCTORES!$F$34,CONDUCTORES!$F$34,IF(AI33&lt;CONDUCTORES!$F$37,CONDUCTORES!$F$37,IF(AI33&lt;CONDUCTORES!$F$40,CONDUCTORES!$F$40,IF(AI33&lt;CONDUCTORES!$F$43,CONDUCTORES!$F$43,IF(AI33&lt;CONDUCTORES!$F$46,CONDUCTORES!$F$46,IF(AI33&lt;CONDUCTORES!$F$49,CONDUCTORES!$F$49,IF(AI33&lt;CONDUCTORES!$F$52,CONDUCTORES!$F$52,IF(AI33&lt;CONDUCTORES!$F$55,CONDUCTORES!$F$55,IF(AI33&lt;CONDUCTORES!$F$58,CONDUCTORES!$F$58,CONDUCTORES!$F$61))))))))),0)</f>
        <v>#REF!</v>
      </c>
      <c r="AM33" s="434" t="e">
        <f>IF(AF33="4/C  -",IF(AI33&lt;CONDUCTORES!$F$35,CONDUCTORES!$F$35,IF(AI33&lt;CONDUCTORES!$F$38,CONDUCTORES!$F$38,IF(AI33&lt;CONDUCTORES!$F$41,CONDUCTORES!$F$41,IF(AI33&lt;CONDUCTORES!$F$44,CONDUCTORES!$F$44,IF(AI33&lt;CONDUCTORES!$F$47,CONDUCTORES!$F$47,IF(AI33&lt;CONDUCTORES!$F$50,CONDUCTORES!$F$50,IF(AI33&lt;CONDUCTORES!$F$53,CONDUCTORES!$F$53,IF(AI33&lt;CONDUCTORES!$F$56,CONDUCTORES!$F$56,IF(AI33&lt;CONDUCTORES!$F$59,CONDUCTORES!$F$59,CONDUCTORES!$F$62))))))))),0)</f>
        <v>#REF!</v>
      </c>
      <c r="AN33" s="436" t="e">
        <f>IF(AE33="Multiconductor",IF(AF33="2/C  -",AK33,IF(AF33="3/C  -",AL33,IF(AF33="4/C  -",AM33,"NO SE CÁLCULO, REVISAR"))),IF(AI33&lt;CONDUCTORES!$F$9,CONDUCTORES!$F$9,IF(AI33&lt;CONDUCTORES!$F$10,CONDUCTORES!$F$10,IF(AI33&lt;CONDUCTORES!$F$11,CONDUCTORES!$F$11,IF(AI33&lt;CONDUCTORES!$F$12,CONDUCTORES!$F$12,IF(AI33&lt;CONDUCTORES!$F$13,CONDUCTORES!$F$13,IF(AI33&lt;CONDUCTORES!$F$14,CONDUCTORES!$F$14,IF(AI33&lt;CONDUCTORES!$F$15,CONDUCTORES!$F$15,IF(AI33&lt;CONDUCTORES!$F$16,CONDUCTORES!$F$16,IF(AI33&lt;CONDUCTORES!$F$17,CONDUCTORES!$F$17,IF(AI33&lt;CONDUCTORES!$F$18,CONDUCTORES!$F$18,IF(AI33&lt;CONDUCTORES!$F$19,CONDUCTORES!$F$19,IF(AI33&lt;CONDUCTORES!$F$20,CONDUCTORES!$F$20,IF(AI33&lt;CONDUCTORES!$F$21,CONDUCTORES!$F$21,IF(AI33&lt;CONDUCTORES!$F$22,CONDUCTORES!$F$22,CONDUCTORES!$F$23)))))))))))))))</f>
        <v>#REF!</v>
      </c>
      <c r="AO33" s="1197" t="str">
        <f>+V33</f>
        <v>6 AWG</v>
      </c>
      <c r="AP33" s="1196" t="e" cm="1">
        <f t="array" ref="AP33">IF(AE33="Multiconductor",INDEX(CONDUCTORES!$A$24:$A$62,MATCH(1,(CONDUCTORES!$B$24:$B$62=AO33)*(CONDUCTORES!$C$24:$C$62=AF33),0)),VLOOKUP(AO33,CONDUCTORES!$B$9:$X$23,23,FALSE))</f>
        <v>#REF!</v>
      </c>
      <c r="AQ33" s="1197" t="str">
        <f>+X33</f>
        <v>1/0 AWG</v>
      </c>
      <c r="AR33" s="437" t="e" cm="1">
        <f t="array" ref="AR33">IF(AE33="Multiconductor",INDEX(CONDUCTORES!$A$24:$A$62,MATCH(1,(CONDUCTORES!$B$24:$B$62=AQ33)*(CONDUCTORES!$C$24:$C$62=AF33),0)),VLOOKUP(AQ33,CONDUCTORES!$B$9:$X$23,23,FALSE))</f>
        <v>#REF!</v>
      </c>
      <c r="AS33" s="438" t="e">
        <f>+K33</f>
        <v>#REF!</v>
      </c>
      <c r="AT33" s="1195" t="e">
        <f>($I33*$AS$4*($AP$4*$AU$5+$AG$4)*($AI$4/(1+($AN$4/1))))</f>
        <v>#REF!</v>
      </c>
      <c r="AU33" s="439">
        <f>+$AE$4</f>
        <v>3.03E-8</v>
      </c>
      <c r="AV33" s="437" t="e">
        <f>+(1+BE33+BF33)*(1+BG33+BH33)</f>
        <v>#REF!</v>
      </c>
      <c r="AW33" s="440" t="e">
        <f>VLOOKUP(AG33,COSTOS!$A$7:$Z$94,7,FALSE)</f>
        <v>#REF!</v>
      </c>
      <c r="AX33" s="437" t="e">
        <f>((2.5)/(18*LN((VLOOKUP(O33,CONDUCTORES!$B$9:$AF$23,24,FALSE))/(VLOOKUP(O33,CONDUCTORES!$B$9:$D$23,3,FALSE)))))*-0.000000001</f>
        <v>#REF!</v>
      </c>
      <c r="AY33" s="437" t="e">
        <f>+(2*PI()*60)*(AX33)*(H33^2)*(0.001)</f>
        <v>#REF!</v>
      </c>
      <c r="AZ33" s="437" t="e">
        <f>(0.12)*(5000)*(LN((VLOOKUP(O33,CONDUCTORES!$B$9:$AF$23,24,FALSE))/(VLOOKUP(O33,CONDUCTORES!$B$9:$D$23,3,FALSE))))</f>
        <v>#REF!</v>
      </c>
      <c r="BA33" s="437" t="e">
        <f>+($AW$3)-(((K33^2)*(VLOOKUP(O33,CONDUCTORES!$B$9:$K$23,7,FALSE)))+(0.5*AY33))*(AZ33)</f>
        <v>#REF!</v>
      </c>
      <c r="BB33" s="441" t="e">
        <f>1+$BD$4*(BA33-20)</f>
        <v>#REF!</v>
      </c>
      <c r="BC33" s="437" t="e">
        <f>+SQRT(((8*PI()*60)/(VLOOKUP(O33,CONDUCTORES!$B$9:$K$23,9,FALSE)))*(0.0000001)*(1))</f>
        <v>#REF!</v>
      </c>
      <c r="BD33" s="437" t="e">
        <f>+SQRT(((8*PI()*60)/(VLOOKUP(O33,CONDUCTORES!$B$9:$K$23,9,FALSE)))*(0.0000001)*(1))</f>
        <v>#REF!</v>
      </c>
      <c r="BE33" s="442" t="e">
        <f>((BD33^4)/((192)+((0.8)*(BD33^4))))*(((VLOOKUP(O33,CONDUCTORES!$B$9:$K$23,9,FALSE))/(1))^2)*(2.9)</f>
        <v>#REF!</v>
      </c>
      <c r="BF33" s="442" t="e">
        <f>+(BC33^4)/((192)+((0.8)*(BC33^4)))</f>
        <v>#REF!</v>
      </c>
      <c r="BG33" s="437" t="e">
        <f>+((BB33)/(-AZ33))*(1/(1+((BB33)/(52.9))))</f>
        <v>#REF!</v>
      </c>
      <c r="BH33" s="437">
        <v>0</v>
      </c>
      <c r="BI33" s="434" t="e">
        <f>(IF(AE33="Multiconductor",VLOOKUP(AP33,CONDUCTORES!$A$24:$G$62,6,FALSE),VLOOKUP(AO33,CONDUCTORES!$B$9:$F$23,5,FALSE)))*(U33)</f>
        <v>#REF!</v>
      </c>
      <c r="BJ33" s="434" t="e">
        <f>(IF(AE33="Multiconductor",VLOOKUP(AR33,CONDUCTORES!$A$24:$G$62,6,FALSE),VLOOKUP(AQ33,CONDUCTORES!$B$9:$F$23,5,FALSE)))*(U33)</f>
        <v>#REF!</v>
      </c>
      <c r="BK33" s="1194" t="e">
        <f>+(AU33*AV33*(1+$BD$4*($BB$4-20))/(BI33))*10^6</f>
        <v>#REF!</v>
      </c>
      <c r="BL33" s="443" t="e">
        <f>+(AU33*AV33*(1+$BD$4*($BB$4-20))/(BJ33))*10^6</f>
        <v>#REF!</v>
      </c>
      <c r="BM33" s="443" t="e">
        <f>+(AU33*AV33*(1+$BD$4*($BB$4-20))/(AH33))*10^6</f>
        <v>#REF!</v>
      </c>
      <c r="BN33" s="1192" t="e">
        <f>(M33)*((K33)^2)*(BK33)*(AT33)</f>
        <v>#REF!</v>
      </c>
      <c r="BO33" s="1198" t="e">
        <f>(M33)*((K33)^2)*(BL33)*(AT33)</f>
        <v>#REF!</v>
      </c>
      <c r="BP33" s="444" t="e">
        <f>(M33)*((K33)^2)*(BM33)*(AT33)</f>
        <v>#REF!</v>
      </c>
      <c r="BQ33" s="1193" t="e">
        <f>VLOOKUP(AP33,COSTOS!$A$7:$I$60,4,FALSE)</f>
        <v>#REF!</v>
      </c>
      <c r="BR33" s="1193" t="e">
        <f>VLOOKUP(AP33,COSTOS!$A$7:$I$60,5,FALSE)</f>
        <v>#REF!</v>
      </c>
      <c r="BS33" s="1193" t="e">
        <f>+BQ33+BR33</f>
        <v>#REF!</v>
      </c>
      <c r="BT33" s="1192" t="e">
        <f>+BS33*M33*(IF(AE33="Monopolar",U33*I33,U33*Z33))</f>
        <v>#REF!</v>
      </c>
      <c r="BU33" s="444" t="e">
        <f>VLOOKUP(AR33,COSTOS!$A$7:$I$60,4,FALSE)</f>
        <v>#REF!</v>
      </c>
      <c r="BV33" s="444" t="e">
        <f>VLOOKUP(AR33,COSTOS!$A$7:$I$60,5,FALSE)</f>
        <v>#REF!</v>
      </c>
      <c r="BW33" s="1198" t="e">
        <f>+BU33+BV33</f>
        <v>#REF!</v>
      </c>
      <c r="BX33" s="1198" t="e">
        <f>+BW33*M33*(IF(AE33="Monopolar",W33*I33,U33*Z33))</f>
        <v>#REF!</v>
      </c>
      <c r="BY33" s="444" t="e">
        <f>VLOOKUP(AG33,COSTOS!$A$7:$I$60,4,FALSE)</f>
        <v>#REF!</v>
      </c>
      <c r="BZ33" s="444" t="e">
        <f>VLOOKUP(AG33,COSTOS!$A$7:$I$60,5,FALSE)</f>
        <v>#REF!</v>
      </c>
      <c r="CA33" s="444" t="e">
        <f>+BY33+BZ33</f>
        <v>#REF!</v>
      </c>
      <c r="CB33" s="444" t="e">
        <f>+CA33*M33*(IF(AE33="Monopolar",N33*I33,N33*Z33))</f>
        <v>#REF!</v>
      </c>
      <c r="CC33" s="444" t="e">
        <f>(BT33)+(BN33)</f>
        <v>#REF!</v>
      </c>
      <c r="CD33" s="1198" t="e">
        <f>(BX33)+(BO33)</f>
        <v>#REF!</v>
      </c>
      <c r="CE33" s="444" t="e">
        <f>(CB33)+(BP33)</f>
        <v>#REF!</v>
      </c>
      <c r="CF33" s="445"/>
    </row>
    <row r="34" spans="2:84" s="371" customFormat="1" ht="14.4" thickBot="1" x14ac:dyDescent="0.3">
      <c r="C34" s="853"/>
      <c r="D34" s="854"/>
      <c r="E34" s="855"/>
      <c r="F34" s="856"/>
      <c r="G34" s="851"/>
      <c r="H34" s="857"/>
      <c r="I34" s="857"/>
      <c r="J34" s="857"/>
      <c r="K34" s="858"/>
      <c r="L34" s="859"/>
      <c r="M34" s="860"/>
      <c r="N34" s="860"/>
      <c r="O34" s="860"/>
      <c r="P34" s="861"/>
      <c r="Q34" s="840"/>
      <c r="R34" s="862"/>
      <c r="S34" s="851"/>
      <c r="T34" s="862"/>
      <c r="U34" s="862"/>
      <c r="V34" s="862"/>
      <c r="W34" s="862"/>
      <c r="X34" s="862"/>
      <c r="Y34" s="835"/>
      <c r="Z34" s="369"/>
      <c r="AA34" s="369"/>
      <c r="AB34" s="369"/>
      <c r="AC34" s="369"/>
      <c r="AD34" s="369"/>
      <c r="AE34" s="366"/>
      <c r="AF34" s="367"/>
      <c r="AG34" s="409"/>
      <c r="AH34" s="409"/>
      <c r="AI34" s="409"/>
      <c r="AJ34" s="409"/>
      <c r="AK34" s="409"/>
      <c r="AL34" s="409"/>
      <c r="AM34" s="409"/>
      <c r="AN34" s="409"/>
      <c r="AO34" s="409"/>
      <c r="AP34" s="409"/>
      <c r="AQ34" s="409"/>
      <c r="AR34" s="409"/>
      <c r="AS34" s="475"/>
      <c r="AT34" s="409"/>
      <c r="AU34" s="409"/>
      <c r="AV34" s="409"/>
      <c r="AW34" s="409"/>
      <c r="AX34" s="409"/>
      <c r="AY34" s="409"/>
      <c r="AZ34" s="409"/>
      <c r="BA34" s="409"/>
      <c r="BB34" s="476"/>
      <c r="BC34" s="409"/>
      <c r="BD34" s="409"/>
      <c r="BE34" s="477"/>
      <c r="BF34" s="477"/>
      <c r="BG34" s="451"/>
      <c r="BH34" s="409"/>
      <c r="BI34" s="409"/>
      <c r="BJ34" s="409"/>
      <c r="BK34" s="453"/>
      <c r="BL34" s="453"/>
      <c r="BM34" s="409"/>
      <c r="BN34" s="454"/>
      <c r="BO34" s="455"/>
      <c r="BP34" s="347"/>
      <c r="BQ34" s="455"/>
      <c r="BR34" s="409"/>
      <c r="BS34" s="455"/>
      <c r="BT34" s="455"/>
      <c r="BU34" s="456"/>
      <c r="BV34" s="456"/>
      <c r="BW34" s="478"/>
      <c r="BX34" s="478"/>
      <c r="BY34" s="478"/>
      <c r="BZ34" s="478"/>
      <c r="CA34" s="479"/>
      <c r="CB34" s="479"/>
      <c r="CC34" s="459"/>
      <c r="CD34" s="459"/>
      <c r="CE34" s="459"/>
      <c r="CF34" s="409"/>
    </row>
    <row r="35" spans="2:84" s="408" customFormat="1" ht="27" customHeight="1" x14ac:dyDescent="0.25">
      <c r="C35" s="1909" t="s">
        <v>1251</v>
      </c>
      <c r="D35" s="1909"/>
      <c r="E35" s="1909"/>
      <c r="F35" s="1909"/>
      <c r="G35" s="1909"/>
      <c r="H35" s="1909"/>
      <c r="I35" s="1909"/>
      <c r="J35" s="1909"/>
      <c r="K35" s="1909"/>
      <c r="L35" s="1909"/>
      <c r="M35" s="1909"/>
      <c r="N35" s="1909"/>
      <c r="O35" s="1909"/>
      <c r="P35" s="1909"/>
      <c r="Q35" s="847"/>
      <c r="R35" s="863" t="s">
        <v>1228</v>
      </c>
      <c r="S35" s="863" t="s">
        <v>1229</v>
      </c>
      <c r="T35" s="863" t="s">
        <v>1252</v>
      </c>
      <c r="U35" s="1873" t="str">
        <f>+'PÉRDIDAS ECONO Cu'!T31</f>
        <v>Considera las pérdidas de energía en un período de 20 AÑOS más el costo inicial de instalación del conductor</v>
      </c>
      <c r="V35" s="1873"/>
      <c r="W35" s="1873"/>
      <c r="X35" s="1873"/>
      <c r="Y35" s="1873"/>
      <c r="Z35" s="369"/>
      <c r="AA35" s="369"/>
      <c r="AB35" s="369"/>
      <c r="AC35" s="369"/>
      <c r="AD35" s="369"/>
      <c r="AE35" s="366"/>
      <c r="AF35" s="367"/>
      <c r="AG35" s="409"/>
      <c r="AH35" s="409"/>
      <c r="AI35" s="409"/>
      <c r="AJ35" s="409"/>
      <c r="AK35" s="409"/>
      <c r="AL35" s="409"/>
      <c r="AM35" s="409"/>
      <c r="AN35" s="409"/>
      <c r="AO35" s="409"/>
      <c r="AP35" s="409"/>
      <c r="AQ35" s="409"/>
      <c r="AR35" s="409"/>
      <c r="AS35" s="475"/>
      <c r="AT35" s="409"/>
      <c r="AU35" s="409"/>
      <c r="AV35" s="409"/>
      <c r="AW35" s="409"/>
      <c r="AX35" s="409"/>
      <c r="AY35" s="409"/>
      <c r="AZ35" s="409"/>
      <c r="BA35" s="409"/>
      <c r="BB35" s="476"/>
      <c r="BC35" s="409"/>
      <c r="BD35" s="409"/>
      <c r="BE35" s="477"/>
      <c r="BF35" s="477"/>
      <c r="BG35" s="451"/>
      <c r="BH35" s="409"/>
      <c r="BI35" s="409"/>
      <c r="BJ35" s="409"/>
      <c r="BK35" s="453"/>
      <c r="BL35" s="453"/>
      <c r="BM35" s="409"/>
      <c r="BN35" s="481" t="s">
        <v>1228</v>
      </c>
      <c r="BO35" s="481" t="s">
        <v>1229</v>
      </c>
      <c r="BP35" s="481" t="s">
        <v>1252</v>
      </c>
      <c r="BQ35" s="455"/>
      <c r="BR35" s="409"/>
      <c r="BS35" s="409"/>
      <c r="BT35" s="481" t="s">
        <v>1228</v>
      </c>
      <c r="BU35" s="409"/>
      <c r="BV35" s="409"/>
      <c r="BW35" s="409"/>
      <c r="BX35" s="481" t="s">
        <v>1229</v>
      </c>
      <c r="BY35" s="409"/>
      <c r="BZ35" s="409"/>
      <c r="CA35" s="409"/>
      <c r="CB35" s="481" t="s">
        <v>1252</v>
      </c>
      <c r="CC35" s="481" t="s">
        <v>1228</v>
      </c>
      <c r="CD35" s="481" t="s">
        <v>1229</v>
      </c>
      <c r="CE35" s="481" t="s">
        <v>1252</v>
      </c>
      <c r="CF35" s="409"/>
    </row>
    <row r="36" spans="2:84" s="408" customFormat="1" ht="27" customHeight="1" thickBot="1" x14ac:dyDescent="0.3">
      <c r="C36" s="1910"/>
      <c r="D36" s="1910"/>
      <c r="E36" s="1910"/>
      <c r="F36" s="1910"/>
      <c r="G36" s="1910"/>
      <c r="H36" s="1910"/>
      <c r="I36" s="1910"/>
      <c r="J36" s="1910"/>
      <c r="K36" s="1910"/>
      <c r="L36" s="1910"/>
      <c r="M36" s="1910"/>
      <c r="N36" s="1910"/>
      <c r="O36" s="1910"/>
      <c r="P36" s="1910"/>
      <c r="Q36" s="849"/>
      <c r="R36" s="1169">
        <f>R17+SUM(R19:R25)</f>
        <v>365549815.27874267</v>
      </c>
      <c r="S36" s="1169">
        <f t="shared" ref="S36:T36" si="41">S17+SUM(S19:S25)</f>
        <v>398944410.78557956</v>
      </c>
      <c r="T36" s="1169">
        <f t="shared" si="41"/>
        <v>292648965.4373824</v>
      </c>
      <c r="U36" s="1874"/>
      <c r="V36" s="1874"/>
      <c r="W36" s="1874"/>
      <c r="X36" s="1874"/>
      <c r="Y36" s="1874"/>
      <c r="Z36" s="369"/>
      <c r="AB36" s="369"/>
      <c r="AC36" s="369"/>
      <c r="AD36" s="369"/>
      <c r="AE36" s="366"/>
      <c r="AF36" s="367"/>
      <c r="AG36" s="409"/>
      <c r="AH36" s="409">
        <f>+ROUNDUP((AI19/450.3),0)</f>
        <v>2</v>
      </c>
      <c r="AI36" s="409"/>
      <c r="AJ36" s="409"/>
      <c r="AK36" s="409"/>
      <c r="AL36" s="409"/>
      <c r="AM36" s="409"/>
      <c r="AN36" s="409"/>
      <c r="AO36" s="409"/>
      <c r="AP36" s="409"/>
      <c r="AQ36" s="409"/>
      <c r="AR36" s="409"/>
      <c r="AS36" s="475"/>
      <c r="AT36" s="409"/>
      <c r="AU36" s="409"/>
      <c r="AV36" s="409"/>
      <c r="AW36" s="409"/>
      <c r="AX36" s="409"/>
      <c r="AY36" s="409"/>
      <c r="AZ36" s="409"/>
      <c r="BA36" s="409"/>
      <c r="BB36" s="476"/>
      <c r="BC36" s="409"/>
      <c r="BD36" s="409"/>
      <c r="BE36" s="477"/>
      <c r="BF36" s="477"/>
      <c r="BG36" s="451"/>
      <c r="BH36" s="409"/>
      <c r="BI36" s="409"/>
      <c r="BJ36" s="409"/>
      <c r="BK36" s="453"/>
      <c r="BL36" s="453"/>
      <c r="BM36" s="409"/>
      <c r="BN36" s="483">
        <f>SUM(BN17:BN22)</f>
        <v>260663371.21542105</v>
      </c>
      <c r="BO36" s="483">
        <f>SUM(BO17:BO22)</f>
        <v>212791396.86378142</v>
      </c>
      <c r="BP36" s="483">
        <f>SUM(BP17:BP22)</f>
        <v>111541632.64198433</v>
      </c>
      <c r="BQ36" s="455"/>
      <c r="BR36" s="409"/>
      <c r="BS36" s="409"/>
      <c r="BT36" s="483">
        <f>SUM(BT17:BT22)</f>
        <v>82677681.687999994</v>
      </c>
      <c r="BU36" s="409"/>
      <c r="BV36" s="409"/>
      <c r="BW36" s="409"/>
      <c r="BX36" s="483">
        <f>SUM(BX17:BX22)</f>
        <v>163987694.02880001</v>
      </c>
      <c r="BY36" s="409"/>
      <c r="BZ36" s="409"/>
      <c r="CA36" s="409"/>
      <c r="CB36" s="483">
        <f>SUM(CB17:CB22)</f>
        <v>158942012.90240002</v>
      </c>
      <c r="CC36" s="483">
        <f>SUM(CC17:CC22)</f>
        <v>343341052.90342104</v>
      </c>
      <c r="CD36" s="483">
        <f>SUM(CD17:CD22)</f>
        <v>376779090.89258146</v>
      </c>
      <c r="CE36" s="483">
        <f>SUM(CE17:CE22)</f>
        <v>270483645.54438436</v>
      </c>
      <c r="CF36" s="409"/>
    </row>
    <row r="37" spans="2:84" ht="15.75" customHeight="1" x14ac:dyDescent="0.25">
      <c r="C37" s="503"/>
      <c r="D37" s="503"/>
      <c r="E37" s="503"/>
      <c r="F37" s="503"/>
      <c r="G37" s="503"/>
      <c r="H37" s="503"/>
      <c r="I37" s="503"/>
      <c r="J37" s="503"/>
      <c r="K37" s="503"/>
      <c r="L37" s="503"/>
      <c r="M37" s="503"/>
      <c r="N37" s="486"/>
      <c r="O37" s="503"/>
      <c r="P37" s="503"/>
      <c r="Q37" s="364"/>
      <c r="R37" s="504"/>
      <c r="S37" s="504"/>
      <c r="T37" s="504"/>
      <c r="U37" s="504"/>
      <c r="V37" s="504"/>
      <c r="W37" s="504"/>
      <c r="X37" s="504"/>
      <c r="Y37" s="349"/>
      <c r="Z37" s="369"/>
      <c r="AA37" s="369"/>
      <c r="AB37" s="369"/>
      <c r="AC37" s="369"/>
      <c r="AD37" s="369"/>
      <c r="AE37" s="366"/>
      <c r="AF37" s="367"/>
      <c r="AG37" s="409"/>
      <c r="AH37" s="409"/>
      <c r="AI37" s="409"/>
      <c r="AJ37" s="409"/>
      <c r="AK37" s="409"/>
      <c r="AL37" s="409"/>
      <c r="AM37" s="409"/>
      <c r="AN37" s="409"/>
      <c r="AO37" s="409"/>
      <c r="AP37" s="409"/>
      <c r="AQ37" s="409"/>
      <c r="AR37" s="409"/>
      <c r="AS37" s="475"/>
      <c r="AT37" s="409"/>
      <c r="AU37" s="409"/>
      <c r="AV37" s="409"/>
      <c r="AW37" s="409"/>
      <c r="AX37" s="409"/>
      <c r="AY37" s="409"/>
      <c r="AZ37" s="409"/>
      <c r="BA37" s="409"/>
      <c r="BB37" s="476"/>
      <c r="BC37" s="409"/>
      <c r="BD37" s="409"/>
      <c r="BE37" s="477"/>
      <c r="BF37" s="477"/>
      <c r="BG37" s="451"/>
      <c r="BH37" s="409"/>
      <c r="BI37" s="409"/>
      <c r="BJ37" s="409"/>
      <c r="BK37" s="453"/>
      <c r="BL37" s="453"/>
      <c r="BM37" s="409"/>
      <c r="BN37" s="357"/>
      <c r="BO37" s="357"/>
      <c r="BP37" s="357"/>
      <c r="BQ37" s="357"/>
      <c r="BR37" s="357"/>
      <c r="BS37" s="357"/>
      <c r="BT37" s="357"/>
      <c r="BU37" s="357"/>
      <c r="BV37" s="357"/>
      <c r="BW37" s="357"/>
      <c r="BX37" s="357"/>
      <c r="BY37" s="357"/>
      <c r="BZ37" s="357"/>
      <c r="CA37" s="357"/>
      <c r="CB37" s="357"/>
      <c r="CC37" s="357"/>
      <c r="CD37" s="357"/>
      <c r="CE37" s="357"/>
      <c r="CF37" s="409"/>
    </row>
    <row r="38" spans="2:84" ht="15.75" customHeight="1" x14ac:dyDescent="0.25">
      <c r="C38" s="503"/>
      <c r="D38" s="503"/>
      <c r="E38" s="503"/>
      <c r="F38" s="503"/>
      <c r="G38" s="503"/>
      <c r="H38" s="503"/>
      <c r="I38" s="504"/>
      <c r="J38" s="504"/>
      <c r="K38" s="504"/>
      <c r="L38" s="504"/>
      <c r="M38" s="504"/>
      <c r="N38" s="486"/>
      <c r="O38" s="504"/>
      <c r="P38" s="504"/>
      <c r="Q38" s="504"/>
      <c r="R38" s="504"/>
      <c r="S38" s="504"/>
      <c r="T38" s="504"/>
      <c r="U38" s="504"/>
      <c r="V38" s="504"/>
      <c r="W38" s="504"/>
      <c r="X38" s="504"/>
      <c r="Y38" s="349"/>
      <c r="AD38" s="369"/>
      <c r="AE38" s="366"/>
      <c r="AF38" s="367"/>
      <c r="AG38" s="409"/>
      <c r="AH38" s="409"/>
      <c r="AI38" s="409"/>
      <c r="AJ38" s="409"/>
      <c r="AK38" s="409"/>
      <c r="AL38" s="409"/>
      <c r="AM38" s="409"/>
      <c r="AN38" s="409"/>
      <c r="AO38" s="409"/>
      <c r="AP38" s="409"/>
      <c r="AQ38" s="409"/>
      <c r="AR38" s="409"/>
      <c r="AS38" s="475"/>
      <c r="AT38" s="409"/>
      <c r="AU38" s="409"/>
      <c r="AV38" s="409"/>
      <c r="AW38" s="409"/>
      <c r="AX38" s="409"/>
      <c r="AY38" s="409"/>
      <c r="AZ38" s="409"/>
      <c r="BA38" s="409"/>
      <c r="BB38" s="476"/>
      <c r="BC38" s="409"/>
      <c r="BD38" s="409"/>
      <c r="BE38" s="477"/>
      <c r="BF38" s="477"/>
      <c r="BG38" s="451"/>
      <c r="BH38" s="409"/>
      <c r="BI38" s="409"/>
      <c r="BJ38" s="409"/>
      <c r="BK38" s="453"/>
      <c r="BL38" s="453"/>
      <c r="BM38" s="409"/>
      <c r="BN38" s="454"/>
      <c r="BO38" s="455"/>
      <c r="BP38" s="347"/>
      <c r="BQ38" s="455"/>
      <c r="BR38" s="409"/>
      <c r="BS38" s="455"/>
      <c r="BT38" s="455"/>
      <c r="BU38" s="456"/>
      <c r="BV38" s="456"/>
      <c r="BW38" s="478"/>
      <c r="BX38" s="478"/>
      <c r="BY38" s="478"/>
      <c r="BZ38" s="478"/>
      <c r="CA38" s="479"/>
      <c r="CB38" s="479"/>
      <c r="CC38" s="459"/>
      <c r="CD38" s="459"/>
      <c r="CE38" s="459"/>
      <c r="CF38" s="409"/>
    </row>
    <row r="39" spans="2:84" ht="15.75" customHeight="1" x14ac:dyDescent="0.25">
      <c r="C39" s="503"/>
      <c r="D39" s="503"/>
      <c r="E39" s="503"/>
      <c r="F39" s="503"/>
      <c r="G39" s="503"/>
      <c r="H39" s="503"/>
      <c r="I39" s="504"/>
      <c r="J39" s="504"/>
      <c r="K39" s="504"/>
      <c r="L39" s="504"/>
      <c r="M39" s="504"/>
      <c r="O39" s="504"/>
      <c r="P39" s="504"/>
      <c r="Q39" s="504"/>
      <c r="R39" s="505"/>
      <c r="S39" s="504"/>
      <c r="T39" s="504"/>
      <c r="U39" s="504"/>
      <c r="V39" s="504"/>
      <c r="W39" s="504"/>
      <c r="X39" s="504"/>
      <c r="Y39" s="349"/>
      <c r="AD39" s="369"/>
      <c r="AE39" s="366"/>
      <c r="AF39" s="367"/>
      <c r="AG39" s="409"/>
      <c r="AH39" s="409"/>
      <c r="AI39" s="409"/>
      <c r="AJ39" s="409"/>
      <c r="AK39" s="409"/>
      <c r="AL39" s="409"/>
      <c r="AM39" s="409"/>
      <c r="AN39" s="409"/>
      <c r="AO39" s="409"/>
      <c r="AP39" s="409"/>
      <c r="AQ39" s="409"/>
      <c r="AR39" s="409"/>
      <c r="AS39" s="475"/>
      <c r="AT39" s="409"/>
      <c r="AU39" s="409"/>
      <c r="AV39" s="409"/>
      <c r="AW39" s="409"/>
      <c r="AX39" s="409"/>
      <c r="AY39" s="409"/>
      <c r="AZ39" s="409"/>
      <c r="BA39" s="409"/>
      <c r="BB39" s="476"/>
      <c r="BC39" s="409"/>
      <c r="BD39" s="409"/>
      <c r="BE39" s="477"/>
      <c r="BF39" s="477"/>
      <c r="BG39" s="451"/>
      <c r="BH39" s="409"/>
      <c r="BI39" s="409"/>
      <c r="BJ39" s="409"/>
      <c r="BK39" s="453"/>
      <c r="BL39" s="453"/>
      <c r="BM39" s="409"/>
      <c r="BN39" s="454"/>
      <c r="BO39" s="455"/>
      <c r="BP39" s="347"/>
      <c r="BQ39" s="455"/>
      <c r="BR39" s="409"/>
      <c r="BS39" s="455"/>
      <c r="BT39" s="455"/>
      <c r="BU39" s="456"/>
      <c r="BV39" s="456"/>
      <c r="BW39" s="478"/>
      <c r="BX39" s="478"/>
      <c r="BY39" s="478"/>
      <c r="BZ39" s="478"/>
      <c r="CA39" s="479"/>
      <c r="CB39" s="479"/>
      <c r="CC39" s="459"/>
      <c r="CD39" s="459"/>
      <c r="CE39" s="459"/>
      <c r="CF39" s="409"/>
    </row>
    <row r="40" spans="2:84" ht="15.75" customHeight="1" x14ac:dyDescent="0.25">
      <c r="C40" s="503"/>
      <c r="D40" s="503"/>
      <c r="E40" s="503"/>
      <c r="F40" s="503"/>
      <c r="G40" s="503"/>
      <c r="H40" s="503"/>
      <c r="I40" s="503"/>
      <c r="J40" s="503"/>
      <c r="K40" s="503"/>
      <c r="L40" s="503"/>
      <c r="M40" s="503"/>
      <c r="N40" s="503"/>
      <c r="O40" s="503"/>
      <c r="P40" s="503"/>
      <c r="Q40" s="503"/>
      <c r="R40" s="503"/>
      <c r="S40" s="503"/>
      <c r="T40" s="503"/>
      <c r="U40" s="503"/>
      <c r="V40" s="503"/>
      <c r="W40" s="503"/>
      <c r="X40" s="503"/>
      <c r="Y40" s="503"/>
      <c r="AD40" s="369"/>
      <c r="AE40" s="366"/>
      <c r="AF40" s="367"/>
      <c r="AG40" s="409"/>
      <c r="BN40" s="454"/>
      <c r="BO40" s="455"/>
      <c r="BP40" s="347"/>
      <c r="BQ40" s="455"/>
      <c r="BR40" s="409"/>
      <c r="BS40" s="455"/>
      <c r="BT40" s="455"/>
      <c r="BU40" s="456"/>
      <c r="BV40" s="456"/>
      <c r="BW40" s="478"/>
      <c r="BX40" s="478"/>
      <c r="BY40" s="478"/>
      <c r="BZ40" s="478"/>
      <c r="CA40" s="479"/>
      <c r="CB40" s="479"/>
      <c r="CC40" s="459"/>
      <c r="CD40" s="459"/>
      <c r="CE40" s="459"/>
      <c r="CF40" s="409"/>
    </row>
    <row r="41" spans="2:84" ht="15.75" customHeight="1" x14ac:dyDescent="0.25">
      <c r="C41" s="503"/>
      <c r="D41" s="503"/>
      <c r="E41" s="503"/>
      <c r="F41" s="503"/>
      <c r="G41" s="503"/>
      <c r="H41" s="503"/>
      <c r="I41" s="503"/>
      <c r="J41" s="503"/>
      <c r="K41" s="503"/>
      <c r="L41" s="503"/>
      <c r="M41" s="503"/>
      <c r="N41" s="503"/>
      <c r="O41" s="503"/>
      <c r="P41" s="503"/>
      <c r="Q41" s="503"/>
      <c r="R41" s="503"/>
      <c r="S41" s="503"/>
      <c r="T41" s="503"/>
      <c r="U41" s="503"/>
      <c r="V41" s="503"/>
      <c r="W41" s="503"/>
      <c r="X41" s="503"/>
      <c r="Y41" s="503"/>
      <c r="AD41" s="369"/>
      <c r="AE41" s="366"/>
      <c r="AF41" s="367"/>
      <c r="AG41" s="409"/>
      <c r="BW41" s="478"/>
      <c r="BX41" s="478"/>
      <c r="BY41" s="478"/>
      <c r="BZ41" s="478"/>
      <c r="CA41" s="479"/>
      <c r="CB41" s="479"/>
      <c r="CC41" s="459"/>
      <c r="CD41" s="459"/>
      <c r="CE41" s="459"/>
      <c r="CF41" s="409"/>
    </row>
    <row r="42" spans="2:84" ht="15.75" customHeight="1" x14ac:dyDescent="0.25">
      <c r="C42" s="503"/>
      <c r="D42" s="503"/>
      <c r="E42" s="503"/>
      <c r="F42" s="503"/>
      <c r="G42" s="503"/>
      <c r="H42" s="503"/>
      <c r="I42" s="504"/>
      <c r="J42" s="504"/>
      <c r="K42" s="504"/>
      <c r="L42" s="504"/>
      <c r="M42" s="504"/>
      <c r="O42" s="504"/>
      <c r="P42" s="504"/>
      <c r="Q42" s="504"/>
      <c r="R42" s="503"/>
      <c r="S42" s="503"/>
      <c r="T42" s="503"/>
      <c r="U42" s="503"/>
      <c r="V42" s="503"/>
      <c r="W42" s="503"/>
      <c r="X42" s="503"/>
      <c r="Y42" s="503"/>
      <c r="AD42" s="369"/>
      <c r="AE42" s="366"/>
      <c r="AF42" s="367"/>
      <c r="AG42" s="409"/>
      <c r="BW42" s="478"/>
      <c r="BX42" s="478"/>
      <c r="BY42" s="478"/>
      <c r="BZ42" s="478"/>
      <c r="CA42" s="479"/>
      <c r="CB42" s="479"/>
      <c r="CC42" s="459"/>
      <c r="CD42" s="459"/>
      <c r="CE42" s="459"/>
      <c r="CF42" s="409"/>
    </row>
    <row r="43" spans="2:84" ht="23.25" customHeight="1" x14ac:dyDescent="0.25">
      <c r="R43" s="503"/>
      <c r="S43" s="503"/>
      <c r="T43" s="503"/>
      <c r="U43" s="503"/>
      <c r="V43" s="503"/>
      <c r="W43" s="503"/>
      <c r="X43" s="503"/>
      <c r="Y43" s="503"/>
      <c r="AD43" s="369"/>
      <c r="AE43" s="366"/>
      <c r="AF43" s="367"/>
      <c r="AG43" s="409"/>
      <c r="AH43" s="409"/>
      <c r="AI43" s="409"/>
      <c r="AJ43" s="409"/>
      <c r="AK43" s="409"/>
      <c r="AL43" s="409"/>
      <c r="AM43" s="409"/>
      <c r="AN43" s="409"/>
      <c r="AO43" s="409"/>
      <c r="AP43" s="409"/>
      <c r="AQ43" s="409"/>
      <c r="AR43" s="409"/>
      <c r="AS43" s="475"/>
      <c r="AT43" s="409"/>
      <c r="AU43" s="409"/>
      <c r="AV43" s="409"/>
      <c r="AW43" s="409"/>
      <c r="AX43" s="409"/>
      <c r="AY43" s="409"/>
      <c r="AZ43" s="409"/>
      <c r="BA43" s="409"/>
      <c r="BB43" s="476"/>
      <c r="BW43" s="478"/>
      <c r="BX43" s="478"/>
      <c r="BY43" s="478"/>
      <c r="BZ43" s="478"/>
      <c r="CA43" s="479"/>
      <c r="CB43" s="479"/>
      <c r="CC43" s="459"/>
      <c r="CD43" s="459"/>
      <c r="CE43" s="459"/>
      <c r="CF43" s="409"/>
    </row>
    <row r="44" spans="2:84" ht="23.25" customHeight="1" x14ac:dyDescent="0.25">
      <c r="R44" s="503"/>
      <c r="S44" s="503"/>
      <c r="T44" s="503"/>
      <c r="U44" s="503"/>
      <c r="V44" s="503"/>
      <c r="W44" s="503"/>
      <c r="X44" s="503"/>
      <c r="Y44" s="503"/>
      <c r="AD44" s="360"/>
      <c r="AE44" s="366"/>
      <c r="AF44" s="367"/>
      <c r="AG44" s="409"/>
      <c r="AH44" s="409"/>
      <c r="AI44" s="409"/>
      <c r="AJ44" s="409"/>
      <c r="AK44" s="409"/>
      <c r="AL44" s="409"/>
      <c r="AM44" s="409"/>
      <c r="AN44" s="409"/>
      <c r="AO44" s="409"/>
      <c r="AP44" s="409"/>
      <c r="AQ44" s="409"/>
      <c r="AR44" s="409"/>
      <c r="AS44" s="475"/>
      <c r="AT44" s="409"/>
      <c r="AU44" s="409"/>
      <c r="AV44" s="409"/>
      <c r="AW44" s="409"/>
      <c r="AX44" s="409"/>
      <c r="AY44" s="409"/>
      <c r="AZ44" s="409"/>
      <c r="BA44" s="409"/>
      <c r="BB44" s="476"/>
      <c r="BC44" s="409"/>
      <c r="BD44" s="409"/>
      <c r="BE44" s="477"/>
      <c r="BF44" s="477"/>
      <c r="BG44" s="451"/>
      <c r="BH44" s="409"/>
      <c r="BI44" s="409"/>
      <c r="BJ44" s="409"/>
      <c r="BK44" s="453"/>
      <c r="BL44" s="453"/>
      <c r="BM44" s="409"/>
      <c r="BN44" s="454"/>
      <c r="BO44" s="455"/>
      <c r="BP44" s="347"/>
      <c r="BQ44" s="455"/>
      <c r="BR44" s="409"/>
      <c r="BS44" s="455"/>
      <c r="BT44" s="455"/>
      <c r="BU44" s="456"/>
      <c r="BV44" s="456"/>
      <c r="BW44" s="478"/>
      <c r="BX44" s="478"/>
      <c r="BY44" s="478"/>
      <c r="BZ44" s="478"/>
      <c r="CA44" s="479"/>
      <c r="CB44" s="479"/>
      <c r="CC44" s="459"/>
      <c r="CD44" s="459"/>
      <c r="CE44" s="459"/>
      <c r="CF44" s="409"/>
    </row>
    <row r="45" spans="2:84" ht="23.25" customHeight="1" x14ac:dyDescent="0.25">
      <c r="AD45" s="360"/>
      <c r="AE45" s="366"/>
      <c r="AF45" s="367"/>
      <c r="AG45" s="409"/>
      <c r="AH45" s="409"/>
      <c r="AI45" s="409"/>
      <c r="AJ45" s="409"/>
      <c r="AK45" s="409"/>
      <c r="AL45" s="409"/>
      <c r="AM45" s="409"/>
      <c r="AN45" s="409"/>
      <c r="AO45" s="409"/>
      <c r="AP45" s="409"/>
      <c r="AQ45" s="409"/>
      <c r="AR45" s="409"/>
      <c r="AS45" s="409"/>
      <c r="AT45" s="409"/>
      <c r="AU45" s="409"/>
      <c r="AV45" s="409"/>
      <c r="AW45" s="409"/>
      <c r="AX45" s="409"/>
      <c r="AY45" s="409"/>
      <c r="AZ45" s="409"/>
      <c r="BA45" s="409"/>
      <c r="BB45" s="409"/>
      <c r="BC45" s="409"/>
      <c r="BD45" s="409"/>
      <c r="BE45" s="409"/>
      <c r="BF45" s="409"/>
      <c r="BG45" s="409"/>
      <c r="BH45" s="409"/>
      <c r="BI45" s="409"/>
      <c r="BJ45" s="409"/>
      <c r="BK45" s="409"/>
      <c r="BL45" s="409"/>
      <c r="BM45" s="409"/>
      <c r="BN45" s="454"/>
      <c r="BO45" s="455"/>
      <c r="BP45" s="347"/>
      <c r="BQ45" s="455"/>
      <c r="BR45" s="409"/>
      <c r="BS45" s="455"/>
      <c r="BT45" s="455"/>
      <c r="BU45" s="456"/>
      <c r="BV45" s="456"/>
      <c r="BW45" s="409"/>
      <c r="BX45" s="409"/>
      <c r="BY45" s="409"/>
      <c r="BZ45" s="409"/>
      <c r="CA45" s="492"/>
      <c r="CB45" s="492"/>
      <c r="CC45" s="459"/>
      <c r="CD45" s="459"/>
      <c r="CE45" s="449"/>
      <c r="CF45" s="409"/>
    </row>
    <row r="46" spans="2:84" ht="23.25" customHeight="1" x14ac:dyDescent="0.25">
      <c r="AD46" s="360"/>
      <c r="AE46" s="366"/>
      <c r="AF46" s="367"/>
      <c r="AG46" s="409"/>
      <c r="BN46" s="454"/>
      <c r="BO46" s="455"/>
      <c r="BP46" s="347"/>
      <c r="BQ46" s="455"/>
      <c r="BR46" s="409"/>
      <c r="BS46" s="455"/>
      <c r="BT46" s="455"/>
      <c r="BU46" s="456"/>
      <c r="BV46" s="456"/>
      <c r="CA46" s="493"/>
      <c r="CB46" s="493"/>
      <c r="CC46" s="494"/>
      <c r="CD46" s="494"/>
      <c r="CE46" s="494"/>
    </row>
    <row r="47" spans="2:84" ht="23.25" customHeight="1" x14ac:dyDescent="0.25">
      <c r="AD47" s="360"/>
      <c r="AE47" s="366"/>
      <c r="AF47" s="367"/>
      <c r="AG47" s="409"/>
      <c r="AH47" s="456"/>
      <c r="AI47" s="456"/>
      <c r="AJ47" s="456"/>
      <c r="AK47" s="456"/>
      <c r="AL47" s="456"/>
      <c r="AM47" s="456"/>
      <c r="AN47" s="456"/>
      <c r="AO47" s="456"/>
      <c r="AP47" s="456"/>
      <c r="AQ47" s="456"/>
      <c r="AR47" s="456"/>
      <c r="AS47" s="456"/>
      <c r="AT47" s="456"/>
      <c r="AU47" s="456"/>
      <c r="AV47" s="456"/>
      <c r="AW47" s="456"/>
      <c r="AX47" s="456"/>
      <c r="AY47" s="456"/>
      <c r="AZ47" s="456"/>
      <c r="BA47" s="456"/>
      <c r="BB47" s="456"/>
      <c r="BC47" s="456"/>
      <c r="BD47" s="456"/>
      <c r="BE47" s="456"/>
      <c r="BF47" s="456"/>
      <c r="BG47" s="456"/>
      <c r="BH47" s="456"/>
      <c r="BI47" s="456"/>
      <c r="BJ47" s="456"/>
      <c r="BK47" s="456"/>
      <c r="BL47" s="456"/>
      <c r="BM47" s="456"/>
      <c r="BN47" s="454"/>
      <c r="BO47" s="455"/>
      <c r="BP47" s="347"/>
      <c r="BQ47" s="455"/>
      <c r="BR47" s="409"/>
      <c r="BS47" s="455"/>
      <c r="BT47" s="455"/>
      <c r="BU47" s="456"/>
      <c r="BV47" s="456"/>
      <c r="BW47" s="456"/>
      <c r="BX47" s="456"/>
      <c r="BY47" s="456"/>
      <c r="BZ47" s="456"/>
      <c r="CA47" s="495"/>
      <c r="CB47" s="495"/>
      <c r="CC47" s="338"/>
      <c r="CD47" s="338"/>
      <c r="CE47" s="449"/>
      <c r="CF47" s="456"/>
    </row>
    <row r="48" spans="2:84" ht="23.25" customHeight="1" x14ac:dyDescent="0.25">
      <c r="AD48" s="360"/>
      <c r="AE48" s="366"/>
      <c r="AF48" s="367"/>
      <c r="AG48" s="367"/>
      <c r="AH48" s="456"/>
      <c r="AI48" s="456"/>
      <c r="AJ48" s="456"/>
      <c r="AK48" s="456"/>
      <c r="AL48" s="456"/>
      <c r="AM48" s="456"/>
      <c r="AN48" s="456"/>
      <c r="AO48" s="456"/>
      <c r="AP48" s="456"/>
      <c r="AQ48" s="456"/>
      <c r="AR48" s="456"/>
      <c r="AS48" s="456"/>
      <c r="AT48" s="456"/>
      <c r="AU48" s="456"/>
      <c r="AV48" s="456"/>
      <c r="AW48" s="456"/>
      <c r="AX48" s="456"/>
      <c r="AY48" s="456"/>
      <c r="AZ48" s="456"/>
      <c r="BA48" s="456"/>
      <c r="BB48" s="456"/>
      <c r="BC48" s="456"/>
      <c r="BD48" s="456"/>
      <c r="BE48" s="456"/>
      <c r="BF48" s="456"/>
      <c r="BG48" s="456"/>
      <c r="BH48" s="456"/>
      <c r="BI48" s="456"/>
      <c r="BJ48" s="456"/>
      <c r="BK48" s="456"/>
      <c r="BL48" s="456"/>
      <c r="BM48" s="456"/>
      <c r="BN48" s="454"/>
      <c r="BO48" s="455"/>
      <c r="BP48" s="347"/>
      <c r="BQ48" s="455"/>
      <c r="BR48" s="409"/>
      <c r="BS48" s="455"/>
      <c r="BT48" s="455"/>
      <c r="BU48" s="456"/>
      <c r="BV48" s="456"/>
      <c r="BW48" s="456"/>
      <c r="BX48" s="456"/>
      <c r="BY48" s="456"/>
      <c r="BZ48" s="456"/>
      <c r="CA48" s="495"/>
      <c r="CB48" s="495"/>
      <c r="CC48" s="338"/>
      <c r="CD48" s="338"/>
      <c r="CE48" s="338"/>
      <c r="CF48" s="456"/>
    </row>
    <row r="49" spans="32:84" ht="23.25" customHeight="1" x14ac:dyDescent="0.25">
      <c r="AF49" s="367"/>
      <c r="AG49" s="367"/>
      <c r="AH49" s="491"/>
      <c r="AI49" s="491"/>
      <c r="AJ49" s="491"/>
      <c r="AK49" s="491"/>
      <c r="AL49" s="491"/>
      <c r="AM49" s="491"/>
      <c r="AN49" s="491"/>
      <c r="AO49" s="491"/>
      <c r="AP49" s="491"/>
      <c r="AQ49" s="491"/>
      <c r="AR49" s="491"/>
      <c r="AS49" s="491"/>
      <c r="AT49" s="491"/>
      <c r="AU49" s="491"/>
      <c r="AV49" s="491"/>
      <c r="AW49" s="491"/>
      <c r="AX49" s="491"/>
      <c r="AY49" s="491"/>
      <c r="AZ49" s="491"/>
      <c r="BA49" s="491"/>
      <c r="BB49" s="491"/>
      <c r="BC49" s="491"/>
      <c r="BD49" s="491"/>
      <c r="BE49" s="491"/>
      <c r="BF49" s="491"/>
      <c r="BG49" s="491"/>
      <c r="BH49" s="491"/>
      <c r="BI49" s="491"/>
      <c r="BJ49" s="491"/>
      <c r="BK49" s="491"/>
      <c r="BL49" s="491"/>
      <c r="BM49" s="491"/>
      <c r="BN49" s="454"/>
      <c r="BO49" s="455"/>
      <c r="BP49" s="347"/>
      <c r="BQ49" s="455"/>
      <c r="BR49" s="409"/>
      <c r="BS49" s="455"/>
      <c r="BT49" s="455"/>
      <c r="BU49" s="456"/>
      <c r="BV49" s="456"/>
      <c r="BW49" s="491"/>
      <c r="BX49" s="491"/>
      <c r="BY49" s="491"/>
      <c r="BZ49" s="491"/>
      <c r="CA49" s="496"/>
      <c r="CB49" s="496"/>
      <c r="CC49" s="497"/>
      <c r="CD49" s="497"/>
      <c r="CE49" s="497"/>
      <c r="CF49" s="491"/>
    </row>
    <row r="50" spans="32:84" ht="23.25" customHeight="1" x14ac:dyDescent="0.25">
      <c r="AF50" s="367"/>
      <c r="AG50" s="367"/>
      <c r="BN50" s="454"/>
      <c r="BO50" s="455"/>
      <c r="BP50" s="347"/>
      <c r="BQ50" s="455"/>
      <c r="BR50" s="409"/>
      <c r="BS50" s="455"/>
      <c r="BT50" s="455"/>
      <c r="BU50" s="456"/>
      <c r="BV50" s="456"/>
      <c r="CC50" s="498"/>
      <c r="CD50" s="498"/>
      <c r="CE50" s="498"/>
    </row>
    <row r="51" spans="32:84" ht="23.25" customHeight="1" x14ac:dyDescent="0.25">
      <c r="AF51" s="367"/>
      <c r="AG51" s="367"/>
      <c r="BN51" s="454"/>
      <c r="BO51" s="455"/>
      <c r="BP51" s="347"/>
      <c r="BQ51" s="455"/>
      <c r="BR51" s="409"/>
      <c r="BS51" s="455"/>
      <c r="BT51" s="455"/>
      <c r="BU51" s="456"/>
      <c r="BV51" s="456"/>
      <c r="CC51" s="498"/>
      <c r="CD51" s="498"/>
      <c r="CE51" s="498"/>
    </row>
    <row r="52" spans="32:84" ht="23.25" customHeight="1" x14ac:dyDescent="0.25">
      <c r="AF52" s="367"/>
      <c r="AG52" s="367"/>
      <c r="BN52" s="454"/>
      <c r="BO52" s="455"/>
      <c r="BP52" s="347"/>
      <c r="BQ52" s="455"/>
      <c r="BR52" s="409"/>
      <c r="BS52" s="455"/>
      <c r="BT52" s="455"/>
      <c r="BU52" s="456"/>
      <c r="BV52" s="456"/>
      <c r="CC52" s="498"/>
      <c r="CD52" s="498"/>
      <c r="CE52" s="498"/>
    </row>
    <row r="53" spans="32:84" ht="23.25" customHeight="1" x14ac:dyDescent="0.25">
      <c r="AF53" s="367"/>
      <c r="AG53" s="367"/>
      <c r="BN53" s="454"/>
      <c r="BO53" s="455"/>
      <c r="BP53" s="347"/>
      <c r="BQ53" s="455"/>
      <c r="BR53" s="409"/>
      <c r="BS53" s="455"/>
      <c r="BT53" s="455"/>
      <c r="BU53" s="456"/>
      <c r="BV53" s="456"/>
      <c r="CC53" s="498"/>
      <c r="CD53" s="498"/>
      <c r="CE53" s="498"/>
    </row>
    <row r="54" spans="32:84" ht="23.25" customHeight="1" x14ac:dyDescent="0.25">
      <c r="AF54" s="367"/>
      <c r="AG54" s="367"/>
      <c r="BN54" s="454"/>
      <c r="BO54" s="455"/>
      <c r="BP54" s="347"/>
      <c r="BQ54" s="455"/>
      <c r="BR54" s="409"/>
      <c r="BS54" s="455"/>
      <c r="BT54" s="455"/>
      <c r="BU54" s="456"/>
      <c r="BV54" s="456"/>
      <c r="CC54" s="498"/>
      <c r="CD54" s="498"/>
      <c r="CE54" s="498"/>
    </row>
    <row r="55" spans="32:84" ht="23.25" customHeight="1" x14ac:dyDescent="0.25">
      <c r="AF55" s="367"/>
      <c r="AG55" s="367"/>
      <c r="BN55" s="454"/>
      <c r="BO55" s="455"/>
      <c r="BP55" s="347"/>
      <c r="BQ55" s="455"/>
      <c r="BR55" s="409"/>
      <c r="BS55" s="455"/>
      <c r="BT55" s="455"/>
      <c r="BU55" s="456"/>
      <c r="BV55" s="456"/>
      <c r="CC55" s="498"/>
      <c r="CD55" s="498"/>
      <c r="CE55" s="498"/>
    </row>
    <row r="56" spans="32:84" ht="23.25" customHeight="1" x14ac:dyDescent="0.25">
      <c r="AF56" s="367"/>
      <c r="AG56" s="367"/>
      <c r="BN56" s="454"/>
      <c r="BO56" s="455"/>
      <c r="BP56" s="347"/>
      <c r="BQ56" s="455"/>
      <c r="BR56" s="409"/>
      <c r="BS56" s="455"/>
      <c r="BT56" s="455"/>
      <c r="BU56" s="456"/>
      <c r="BV56" s="456"/>
      <c r="CC56" s="498"/>
      <c r="CD56" s="498"/>
      <c r="CE56" s="498"/>
    </row>
    <row r="57" spans="32:84" ht="23.25" customHeight="1" x14ac:dyDescent="0.25">
      <c r="AF57" s="367"/>
      <c r="AG57" s="367"/>
      <c r="BN57" s="454"/>
      <c r="BO57" s="455"/>
      <c r="BP57" s="347"/>
      <c r="BQ57" s="455"/>
      <c r="BR57" s="409"/>
      <c r="BS57" s="455"/>
      <c r="BT57" s="455"/>
      <c r="BU57" s="456"/>
      <c r="BV57" s="456"/>
      <c r="CC57" s="498"/>
      <c r="CD57" s="498"/>
      <c r="CE57" s="498"/>
    </row>
    <row r="58" spans="32:84" ht="23.25" customHeight="1" x14ac:dyDescent="0.25">
      <c r="AF58" s="367"/>
      <c r="AG58" s="367"/>
      <c r="BN58" s="454"/>
      <c r="BO58" s="455"/>
      <c r="BP58" s="347"/>
      <c r="BQ58" s="455"/>
      <c r="BR58" s="409"/>
      <c r="BS58" s="455"/>
      <c r="BT58" s="455"/>
      <c r="BU58" s="456"/>
      <c r="BV58" s="456"/>
      <c r="CC58" s="498"/>
      <c r="CD58" s="498"/>
      <c r="CE58" s="498"/>
    </row>
    <row r="59" spans="32:84" ht="23.25" customHeight="1" x14ac:dyDescent="0.25">
      <c r="AF59" s="367"/>
      <c r="AG59" s="367"/>
      <c r="BN59" s="454"/>
      <c r="BO59" s="455"/>
      <c r="BP59" s="347"/>
      <c r="BQ59" s="455"/>
      <c r="BR59" s="409"/>
      <c r="BS59" s="455"/>
      <c r="BT59" s="455"/>
      <c r="BU59" s="456"/>
      <c r="BV59" s="456"/>
      <c r="CC59" s="498"/>
      <c r="CD59" s="498"/>
      <c r="CE59" s="498"/>
    </row>
    <row r="60" spans="32:84" ht="23.25" customHeight="1" x14ac:dyDescent="0.25">
      <c r="AF60" s="367"/>
      <c r="AG60" s="367"/>
      <c r="BN60" s="454"/>
      <c r="BO60" s="455"/>
      <c r="BP60" s="347"/>
      <c r="BQ60" s="455"/>
      <c r="BR60" s="409"/>
      <c r="BS60" s="455"/>
      <c r="BT60" s="455"/>
      <c r="BU60" s="456"/>
      <c r="BV60" s="456"/>
      <c r="CC60" s="498"/>
      <c r="CD60" s="498"/>
      <c r="CE60" s="498"/>
    </row>
    <row r="61" spans="32:84" ht="23.25" customHeight="1" x14ac:dyDescent="0.25">
      <c r="AF61" s="367"/>
      <c r="AG61" s="367"/>
      <c r="BN61" s="454"/>
      <c r="BO61" s="455"/>
      <c r="BP61" s="347"/>
      <c r="BQ61" s="455"/>
      <c r="BR61" s="409"/>
      <c r="BS61" s="455"/>
      <c r="BT61" s="455"/>
      <c r="BU61" s="456"/>
      <c r="BV61" s="456"/>
      <c r="CC61" s="498"/>
      <c r="CD61" s="498"/>
      <c r="CE61" s="498"/>
    </row>
    <row r="62" spans="32:84" ht="23.25" customHeight="1" x14ac:dyDescent="0.25">
      <c r="AF62" s="367"/>
      <c r="AG62" s="367"/>
      <c r="BN62" s="454"/>
      <c r="BO62" s="455"/>
      <c r="BP62" s="347"/>
      <c r="BQ62" s="455"/>
      <c r="BR62" s="409"/>
      <c r="BS62" s="455"/>
      <c r="BT62" s="455"/>
      <c r="BU62" s="456"/>
      <c r="BV62" s="456"/>
      <c r="CC62" s="498"/>
      <c r="CD62" s="498"/>
      <c r="CE62" s="498"/>
    </row>
    <row r="63" spans="32:84" ht="23.25" customHeight="1" x14ac:dyDescent="0.25">
      <c r="AF63" s="367"/>
      <c r="AG63" s="367"/>
      <c r="BN63" s="454"/>
      <c r="BO63" s="455"/>
      <c r="BP63" s="347"/>
      <c r="BQ63" s="455"/>
      <c r="BR63" s="409"/>
      <c r="BS63" s="455"/>
      <c r="BT63" s="455"/>
      <c r="BU63" s="456"/>
      <c r="BV63" s="456"/>
      <c r="CC63" s="498"/>
      <c r="CD63" s="498"/>
      <c r="CE63" s="498"/>
    </row>
    <row r="64" spans="32:84" ht="23.25" customHeight="1" x14ac:dyDescent="0.25">
      <c r="AF64" s="367"/>
      <c r="AG64" s="367"/>
      <c r="BN64" s="454"/>
      <c r="BO64" s="455"/>
      <c r="BP64" s="347"/>
      <c r="BQ64" s="455"/>
      <c r="BR64" s="409"/>
      <c r="BS64" s="455"/>
      <c r="BT64" s="455"/>
      <c r="BU64" s="456"/>
      <c r="BV64" s="456"/>
    </row>
    <row r="65" spans="32:74" ht="23.25" customHeight="1" x14ac:dyDescent="0.25">
      <c r="AF65" s="367"/>
      <c r="AG65" s="367"/>
      <c r="BN65" s="454"/>
      <c r="BO65" s="455"/>
      <c r="BP65" s="347"/>
      <c r="BQ65" s="455"/>
      <c r="BR65" s="409"/>
      <c r="BS65" s="455"/>
      <c r="BT65" s="455"/>
      <c r="BU65" s="456"/>
      <c r="BV65" s="456"/>
    </row>
    <row r="66" spans="32:74" ht="23.25" customHeight="1" x14ac:dyDescent="0.25">
      <c r="AF66" s="367"/>
      <c r="AG66" s="367"/>
      <c r="BN66" s="454"/>
      <c r="BO66" s="455"/>
      <c r="BP66" s="347"/>
      <c r="BQ66" s="455"/>
      <c r="BR66" s="409"/>
      <c r="BS66" s="455"/>
      <c r="BT66" s="455"/>
      <c r="BU66" s="456"/>
      <c r="BV66" s="456"/>
    </row>
    <row r="67" spans="32:74" ht="23.25" customHeight="1" x14ac:dyDescent="0.25">
      <c r="AF67" s="367"/>
      <c r="AG67" s="367"/>
      <c r="BN67" s="454"/>
      <c r="BO67" s="455"/>
      <c r="BP67" s="347"/>
      <c r="BQ67" s="455"/>
      <c r="BR67" s="409"/>
      <c r="BS67" s="455"/>
      <c r="BT67" s="455"/>
      <c r="BU67" s="456"/>
      <c r="BV67" s="456"/>
    </row>
    <row r="68" spans="32:74" ht="23.25" customHeight="1" x14ac:dyDescent="0.25">
      <c r="AF68" s="367"/>
      <c r="AG68" s="367"/>
      <c r="BN68" s="454"/>
      <c r="BO68" s="455"/>
      <c r="BP68" s="347"/>
      <c r="BQ68" s="455"/>
      <c r="BR68" s="409"/>
      <c r="BS68" s="455"/>
      <c r="BT68" s="455"/>
      <c r="BU68" s="456"/>
      <c r="BV68" s="456"/>
    </row>
    <row r="69" spans="32:74" ht="23.25" customHeight="1" x14ac:dyDescent="0.25">
      <c r="AF69" s="367"/>
      <c r="AG69" s="367"/>
      <c r="BN69" s="454"/>
      <c r="BO69" s="455"/>
      <c r="BP69" s="347"/>
      <c r="BQ69" s="455"/>
      <c r="BR69" s="409"/>
      <c r="BS69" s="455"/>
      <c r="BT69" s="455"/>
      <c r="BU69" s="456"/>
      <c r="BV69" s="456"/>
    </row>
    <row r="70" spans="32:74" ht="23.25" customHeight="1" x14ac:dyDescent="0.25">
      <c r="AF70" s="367"/>
      <c r="AG70" s="367"/>
      <c r="BN70" s="454"/>
      <c r="BO70" s="455"/>
      <c r="BP70" s="347"/>
      <c r="BQ70" s="455"/>
      <c r="BR70" s="409"/>
      <c r="BS70" s="455"/>
      <c r="BT70" s="455"/>
      <c r="BU70" s="456"/>
      <c r="BV70" s="456"/>
    </row>
    <row r="71" spans="32:74" ht="23.25" customHeight="1" x14ac:dyDescent="0.25">
      <c r="AF71" s="367"/>
      <c r="AG71" s="367"/>
      <c r="BN71" s="454"/>
      <c r="BO71" s="455"/>
      <c r="BP71" s="347"/>
      <c r="BQ71" s="455"/>
      <c r="BR71" s="409"/>
      <c r="BS71" s="455"/>
      <c r="BT71" s="455"/>
      <c r="BU71" s="456"/>
      <c r="BV71" s="456"/>
    </row>
    <row r="72" spans="32:74" ht="23.25" customHeight="1" x14ac:dyDescent="0.25">
      <c r="AF72" s="367"/>
      <c r="AG72" s="367"/>
      <c r="BN72" s="454"/>
      <c r="BO72" s="455"/>
      <c r="BP72" s="347"/>
      <c r="BQ72" s="455"/>
      <c r="BR72" s="409"/>
      <c r="BS72" s="455"/>
      <c r="BT72" s="455"/>
      <c r="BU72" s="456"/>
      <c r="BV72" s="456"/>
    </row>
    <row r="73" spans="32:74" ht="23.25" customHeight="1" x14ac:dyDescent="0.25">
      <c r="AF73" s="367"/>
      <c r="AG73" s="367"/>
      <c r="BN73" s="454"/>
      <c r="BO73" s="455"/>
      <c r="BP73" s="347"/>
      <c r="BQ73" s="455"/>
      <c r="BR73" s="409"/>
      <c r="BS73" s="455"/>
      <c r="BT73" s="455"/>
      <c r="BU73" s="456"/>
      <c r="BV73" s="456"/>
    </row>
    <row r="74" spans="32:74" ht="23.25" customHeight="1" x14ac:dyDescent="0.25">
      <c r="AF74" s="367"/>
      <c r="AG74" s="367"/>
      <c r="BN74" s="454"/>
      <c r="BO74" s="455"/>
      <c r="BP74" s="347"/>
      <c r="BQ74" s="455"/>
      <c r="BR74" s="409"/>
      <c r="BS74" s="455"/>
      <c r="BT74" s="455"/>
      <c r="BU74" s="456"/>
      <c r="BV74" s="456"/>
    </row>
    <row r="75" spans="32:74" ht="23.25" customHeight="1" x14ac:dyDescent="0.25">
      <c r="AF75" s="367"/>
      <c r="AG75" s="367"/>
    </row>
    <row r="76" spans="32:74" ht="23.25" customHeight="1" x14ac:dyDescent="0.25">
      <c r="AF76" s="367"/>
      <c r="AG76" s="367"/>
    </row>
    <row r="77" spans="32:74" ht="23.25" customHeight="1" x14ac:dyDescent="0.25">
      <c r="AF77" s="367"/>
      <c r="AG77" s="367"/>
    </row>
    <row r="78" spans="32:74" ht="23.25" customHeight="1" x14ac:dyDescent="0.25">
      <c r="AF78" s="367"/>
      <c r="AG78" s="367"/>
    </row>
  </sheetData>
  <sheetProtection formatCells="0" formatRows="0" insertColumns="0" insertRows="0" deleteRows="0" selectLockedCells="1" sort="0" autoFilter="0"/>
  <protectedRanges>
    <protectedRange sqref="N9:N14" name="Rango1_2_3"/>
    <protectedRange sqref="AD7:AF7" name="Rango1_1"/>
    <protectedRange sqref="AD38:AD43 AE9:AF14" name="Rango1_2_5"/>
    <protectedRange sqref="Z36 AB34:AD37 Z34:AA35 Z37:AA37" name="Rango1_2_6"/>
    <protectedRange sqref="W9:W14 U9:U14" name="Rango1_2"/>
    <protectedRange sqref="AK3" name="Rango1_1_1"/>
    <protectedRange sqref="X17 V19:V33 X19:X33" name="Rango2_1"/>
    <protectedRange sqref="U19:U33 W19:W33" name="Rango2_2"/>
  </protectedRanges>
  <mergeCells count="145">
    <mergeCell ref="C35:P36"/>
    <mergeCell ref="BK3:BK5"/>
    <mergeCell ref="AE4:AE5"/>
    <mergeCell ref="AG4:AG5"/>
    <mergeCell ref="AI4:AI5"/>
    <mergeCell ref="AN4:AN5"/>
    <mergeCell ref="AP4:AP5"/>
    <mergeCell ref="AS4:AS5"/>
    <mergeCell ref="BB4:BB5"/>
    <mergeCell ref="BD4:BD5"/>
    <mergeCell ref="BF4:BF5"/>
    <mergeCell ref="BH4:BH5"/>
    <mergeCell ref="BJ4:BJ5"/>
    <mergeCell ref="BG3:BG5"/>
    <mergeCell ref="BI3:BI5"/>
    <mergeCell ref="AI16:AN16"/>
    <mergeCell ref="AO16:AP16"/>
    <mergeCell ref="AQ16:AR16"/>
    <mergeCell ref="BK16:BM16"/>
    <mergeCell ref="BM7:BM14"/>
    <mergeCell ref="BH7:BH14"/>
    <mergeCell ref="BI7:BI14"/>
    <mergeCell ref="BL3:BL5"/>
    <mergeCell ref="BE3:BE5"/>
    <mergeCell ref="BJ7:BJ14"/>
    <mergeCell ref="AT7:AT14"/>
    <mergeCell ref="AF3:AF5"/>
    <mergeCell ref="AH3:AH5"/>
    <mergeCell ref="AJ3:AJ5"/>
    <mergeCell ref="AO3:AO5"/>
    <mergeCell ref="AR3:AR5"/>
    <mergeCell ref="AT3:AT5"/>
    <mergeCell ref="AV3:AV5"/>
    <mergeCell ref="BC3:BC5"/>
    <mergeCell ref="AZ3:AZ5"/>
    <mergeCell ref="AH7:AH14"/>
    <mergeCell ref="AF9:AF14"/>
    <mergeCell ref="AG7:AG14"/>
    <mergeCell ref="AR7:AR14"/>
    <mergeCell ref="AI7:AI14"/>
    <mergeCell ref="AJ7:AJ14"/>
    <mergeCell ref="AK7:AK14"/>
    <mergeCell ref="AL7:AL14"/>
    <mergeCell ref="BN16:BP16"/>
    <mergeCell ref="BQ16:BT16"/>
    <mergeCell ref="CB7:CB14"/>
    <mergeCell ref="CC7:CC14"/>
    <mergeCell ref="CD7:CD14"/>
    <mergeCell ref="BU16:BX16"/>
    <mergeCell ref="BY16:CB16"/>
    <mergeCell ref="CC16:CE16"/>
    <mergeCell ref="BN7:BN14"/>
    <mergeCell ref="BO7:BO14"/>
    <mergeCell ref="BP7:BP14"/>
    <mergeCell ref="BQ7:BQ14"/>
    <mergeCell ref="CE7:CE14"/>
    <mergeCell ref="BW7:BW14"/>
    <mergeCell ref="BX7:BX14"/>
    <mergeCell ref="BY7:BY14"/>
    <mergeCell ref="BZ7:BZ14"/>
    <mergeCell ref="CA7:CA14"/>
    <mergeCell ref="BR7:BR14"/>
    <mergeCell ref="BS7:BS14"/>
    <mergeCell ref="BT7:BT14"/>
    <mergeCell ref="BU7:BU14"/>
    <mergeCell ref="BV7:BV14"/>
    <mergeCell ref="AB4:AB5"/>
    <mergeCell ref="AD9:AD13"/>
    <mergeCell ref="AE9:AE14"/>
    <mergeCell ref="AA9:AA14"/>
    <mergeCell ref="AB9:AB14"/>
    <mergeCell ref="AC9:AC14"/>
    <mergeCell ref="BL7:BL14"/>
    <mergeCell ref="BK7:BK14"/>
    <mergeCell ref="BC7:BC14"/>
    <mergeCell ref="BD7:BD14"/>
    <mergeCell ref="BE7:BE14"/>
    <mergeCell ref="BF7:BF14"/>
    <mergeCell ref="BG7:BG14"/>
    <mergeCell ref="AW7:AW14"/>
    <mergeCell ref="AX7:AX14"/>
    <mergeCell ref="AY7:AY14"/>
    <mergeCell ref="BA7:BA14"/>
    <mergeCell ref="BB7:BB14"/>
    <mergeCell ref="AZ7:AZ14"/>
    <mergeCell ref="AW3:AW5"/>
    <mergeCell ref="AX3:AX5"/>
    <mergeCell ref="AY3:AY5"/>
    <mergeCell ref="BA3:BA5"/>
    <mergeCell ref="AS7:AS14"/>
    <mergeCell ref="AD3:AD5"/>
    <mergeCell ref="AU7:AU14"/>
    <mergeCell ref="CF7:CF14"/>
    <mergeCell ref="U35:Y36"/>
    <mergeCell ref="F8:G8"/>
    <mergeCell ref="D16:Y16"/>
    <mergeCell ref="Z9:Z14"/>
    <mergeCell ref="CC18:CE18"/>
    <mergeCell ref="D18:Y18"/>
    <mergeCell ref="AI18:AN18"/>
    <mergeCell ref="AO18:AP18"/>
    <mergeCell ref="AQ18:AR18"/>
    <mergeCell ref="BK18:BM18"/>
    <mergeCell ref="BN18:BP18"/>
    <mergeCell ref="BQ18:BT18"/>
    <mergeCell ref="BU18:BX18"/>
    <mergeCell ref="BY18:CB18"/>
    <mergeCell ref="AV7:AV14"/>
    <mergeCell ref="AM7:AM14"/>
    <mergeCell ref="AN7:AN14"/>
    <mergeCell ref="AO7:AO14"/>
    <mergeCell ref="AP7:AP14"/>
    <mergeCell ref="AQ7:AQ14"/>
    <mergeCell ref="AA3:AA5"/>
    <mergeCell ref="D15:Y15"/>
    <mergeCell ref="V9:V13"/>
    <mergeCell ref="X9:X13"/>
    <mergeCell ref="Y9:Y14"/>
    <mergeCell ref="H11:H13"/>
    <mergeCell ref="I11:I14"/>
    <mergeCell ref="O9:O14"/>
    <mergeCell ref="K9:K14"/>
    <mergeCell ref="L9:L14"/>
    <mergeCell ref="M9:M13"/>
    <mergeCell ref="N9:N14"/>
    <mergeCell ref="P9:P14"/>
    <mergeCell ref="R9:R14"/>
    <mergeCell ref="S9:S14"/>
    <mergeCell ref="T9:T14"/>
    <mergeCell ref="C9:C14"/>
    <mergeCell ref="D9:D14"/>
    <mergeCell ref="E9:E14"/>
    <mergeCell ref="F9:G14"/>
    <mergeCell ref="H9:I10"/>
    <mergeCell ref="J9:J14"/>
    <mergeCell ref="U9:U14"/>
    <mergeCell ref="W9:W14"/>
    <mergeCell ref="F2:Y2"/>
    <mergeCell ref="F3:Y3"/>
    <mergeCell ref="G4:Y4"/>
    <mergeCell ref="G5:K5"/>
    <mergeCell ref="L5:P5"/>
    <mergeCell ref="Q5:U5"/>
    <mergeCell ref="V5:W5"/>
    <mergeCell ref="X5:Y5"/>
  </mergeCells>
  <phoneticPr fontId="20" type="noConversion"/>
  <conditionalFormatting sqref="K17 K25:K33">
    <cfRule type="cellIs" dxfId="9" priority="43" stopIfTrue="1" operator="equal">
      <formula>""</formula>
    </cfRule>
  </conditionalFormatting>
  <conditionalFormatting sqref="K23:K24">
    <cfRule type="cellIs" dxfId="8" priority="15" stopIfTrue="1" operator="equal">
      <formula>""</formula>
    </cfRule>
  </conditionalFormatting>
  <conditionalFormatting sqref="K19:K22">
    <cfRule type="cellIs" dxfId="7" priority="4" stopIfTrue="1" operator="equal">
      <formula>""</formula>
    </cfRule>
  </conditionalFormatting>
  <dataValidations count="2">
    <dataValidation type="list" allowBlank="1" showInputMessage="1" showErrorMessage="1" sqref="AB3 BD3 AE3" xr:uid="{F9B9CC5D-6C50-43CF-8C7E-92299F61BBCB}">
      <formula1>TIPO_MATERIAL_CABLE</formula1>
    </dataValidation>
    <dataValidation type="list" allowBlank="1" showInputMessage="1" showErrorMessage="1" sqref="G34 I34:J34 P34" xr:uid="{3BF5E28D-5F1E-4CC6-BF97-B8166F882B3C}"/>
  </dataValidations>
  <pageMargins left="0" right="7.874015748031496E-2" top="0" bottom="0.9055118110236221" header="0" footer="0"/>
  <pageSetup scale="50" fitToHeight="0" orientation="landscape" r:id="rId1"/>
  <headerFooter scaleWithDoc="0">
    <oddHeader xml:space="preserve">&amp;R&amp;8&amp;K00+000                                                                                  </oddHeader>
    <oddFooter xml:space="preserve">&amp;L&amp;"Century Gothic,Normal"&amp;8         Código cliente: DNC-02208-ELE-MC-000001
         Código interno: -&amp;C&amp;"Century Gothic,Normal"&amp;8
&amp;R&amp;"Century Gothic,Normal"&amp;8página &amp;P de &amp;N    &amp;"Arial,Normal"     &amp;K00+000  .&amp;K000000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GGG">
                <anchor moveWithCells="1" sizeWithCells="1">
                  <from>
                    <xdr:col>84</xdr:col>
                    <xdr:colOff>259080</xdr:colOff>
                    <xdr:row>3</xdr:row>
                    <xdr:rowOff>121920</xdr:rowOff>
                  </from>
                  <to>
                    <xdr:col>86</xdr:col>
                    <xdr:colOff>571500</xdr:colOff>
                    <xdr:row>8</xdr:row>
                    <xdr:rowOff>0</xdr:rowOff>
                  </to>
                </anchor>
              </controlPr>
            </control>
          </mc:Choice>
        </mc:AlternateContent>
        <mc:AlternateContent xmlns:mc="http://schemas.openxmlformats.org/markup-compatibility/2006">
          <mc:Choice Requires="x14">
            <control shapeId="201731" r:id="rId5" name="Button 3">
              <controlPr defaultSize="0" print="0" autoFill="0" autoPict="0" macro="[0]!SUMACABLESARMADOS">
                <anchor moveWithCells="1" sizeWithCells="1">
                  <from>
                    <xdr:col>84</xdr:col>
                    <xdr:colOff>259080</xdr:colOff>
                    <xdr:row>9</xdr:row>
                    <xdr:rowOff>76200</xdr:rowOff>
                  </from>
                  <to>
                    <xdr:col>86</xdr:col>
                    <xdr:colOff>579120</xdr:colOff>
                    <xdr:row>13</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84D48F5-1DF3-4281-8D75-B8E115F3AB76}">
          <x14:formula1>
            <xm:f>CONDUCTORES!$B$9:$B$23</xm:f>
          </x14:formula1>
          <xm:sqref>X17 V19:V33 X19:X33</xm:sqref>
        </x14:dataValidation>
        <x14:dataValidation type="list" allowBlank="1" showInputMessage="1" showErrorMessage="1" xr:uid="{0A85ABA4-AC62-4AE6-84E9-2A31914DEB3A}">
          <x14:formula1>
            <xm:f>CONDUCTORES!$A$84:$A$93</xm:f>
          </x14:formula1>
          <xm:sqref>U19:U33 W19:W33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72E98-12F9-40B5-A4E5-2D0146B063D3}">
  <sheetPr codeName="Hoja32">
    <pageSetUpPr fitToPage="1"/>
  </sheetPr>
  <dimension ref="A1:CR78"/>
  <sheetViews>
    <sheetView view="pageBreakPreview" topLeftCell="B7" zoomScale="85" zoomScaleNormal="100" zoomScaleSheetLayoutView="85" workbookViewId="0">
      <selection activeCell="Y14" sqref="Y14"/>
    </sheetView>
  </sheetViews>
  <sheetFormatPr baseColWidth="10" defaultColWidth="11.44140625" defaultRowHeight="23.25" customHeight="1" x14ac:dyDescent="0.25"/>
  <cols>
    <col min="1" max="1" width="6" style="344" hidden="1" customWidth="1"/>
    <col min="2" max="2" width="9.5546875" style="349" customWidth="1"/>
    <col min="3" max="3" width="12.5546875" style="349" customWidth="1"/>
    <col min="4" max="4" width="26.88671875" style="349" customWidth="1"/>
    <col min="5" max="5" width="6.88671875" style="349" customWidth="1"/>
    <col min="6" max="6" width="5.5546875" style="349" customWidth="1"/>
    <col min="7" max="7" width="8.5546875" style="349" customWidth="1"/>
    <col min="8" max="8" width="8.5546875" style="357" customWidth="1"/>
    <col min="9" max="9" width="8.5546875" style="349" customWidth="1"/>
    <col min="10" max="10" width="10" style="349" customWidth="1"/>
    <col min="11" max="11" width="9" style="349" customWidth="1"/>
    <col min="12" max="12" width="7.88671875" style="349" customWidth="1"/>
    <col min="13" max="13" width="6" style="490" customWidth="1"/>
    <col min="14" max="14" width="11.44140625" style="349" customWidth="1"/>
    <col min="15" max="15" width="5.44140625" style="349" customWidth="1"/>
    <col min="16" max="16" width="1" style="349" customWidth="1"/>
    <col min="17" max="19" width="16.5546875" style="349" customWidth="1"/>
    <col min="20" max="20" width="6.5546875" style="349" customWidth="1"/>
    <col min="21" max="21" width="12.44140625" style="349" customWidth="1"/>
    <col min="22" max="22" width="6.5546875" style="349" customWidth="1"/>
    <col min="23" max="23" width="12.5546875" style="349" customWidth="1"/>
    <col min="24" max="24" width="13.5546875" style="337" customWidth="1"/>
    <col min="25" max="25" width="5.5546875" style="337" customWidth="1"/>
    <col min="26" max="30" width="13.5546875" style="337" customWidth="1"/>
    <col min="31" max="31" width="10" style="337" customWidth="1"/>
    <col min="32" max="32" width="13.5546875" style="491" customWidth="1"/>
    <col min="33" max="33" width="6" style="337" customWidth="1"/>
    <col min="34" max="34" width="9.44140625" style="338" hidden="1" customWidth="1"/>
    <col min="35" max="35" width="13.88671875" style="338" hidden="1" customWidth="1"/>
    <col min="36" max="37" width="9.44140625" style="347" hidden="1" customWidth="1"/>
    <col min="38" max="38" width="14.5546875" style="347" hidden="1" customWidth="1"/>
    <col min="39" max="39" width="14.44140625" style="347" hidden="1" customWidth="1"/>
    <col min="40" max="40" width="14.44140625" style="348" hidden="1" customWidth="1"/>
    <col min="41" max="41" width="12.5546875" style="377" hidden="1" customWidth="1"/>
    <col min="42" max="42" width="13" style="377" hidden="1" customWidth="1"/>
    <col min="43" max="43" width="12.44140625" style="377" hidden="1" customWidth="1"/>
    <col min="44" max="44" width="15.5546875" style="377" hidden="1" customWidth="1"/>
    <col min="45" max="48" width="12.44140625" style="377" hidden="1" customWidth="1"/>
    <col min="49" max="49" width="15.44140625" style="377" hidden="1" customWidth="1"/>
    <col min="50" max="50" width="7" style="377" hidden="1" customWidth="1"/>
    <col min="51" max="51" width="15.44140625" style="377" hidden="1" customWidth="1"/>
    <col min="52" max="52" width="6.5546875" style="377" hidden="1" customWidth="1"/>
    <col min="53" max="53" width="13.44140625" style="377" hidden="1" customWidth="1"/>
    <col min="54" max="54" width="18.44140625" style="377" hidden="1" customWidth="1"/>
    <col min="55" max="56" width="13" style="377" hidden="1" customWidth="1"/>
    <col min="57" max="57" width="13.44140625" style="377" hidden="1" customWidth="1"/>
    <col min="58" max="58" width="13.5546875" style="377" hidden="1" customWidth="1"/>
    <col min="59" max="60" width="13" style="377" hidden="1" customWidth="1"/>
    <col min="61" max="61" width="13.5546875" style="377" hidden="1" customWidth="1"/>
    <col min="62" max="62" width="14.88671875" style="377" hidden="1" customWidth="1"/>
    <col min="63" max="63" width="17.44140625" style="377" hidden="1" customWidth="1"/>
    <col min="64" max="64" width="14.44140625" style="377" hidden="1" customWidth="1"/>
    <col min="65" max="65" width="18.109375" style="377" hidden="1" customWidth="1"/>
    <col min="66" max="66" width="15.109375" style="377" hidden="1" customWidth="1"/>
    <col min="67" max="67" width="16.44140625" style="377" hidden="1" customWidth="1"/>
    <col min="68" max="68" width="11.44140625" style="377" hidden="1" customWidth="1"/>
    <col min="69" max="70" width="13" style="377" hidden="1" customWidth="1"/>
    <col min="71" max="71" width="21.44140625" style="377" hidden="1" customWidth="1"/>
    <col min="72" max="72" width="14.44140625" style="377" hidden="1" customWidth="1"/>
    <col min="73" max="73" width="20" style="377" hidden="1" customWidth="1"/>
    <col min="74" max="76" width="17.5546875" style="377" hidden="1" customWidth="1"/>
    <col min="77" max="80" width="16.109375" style="377" hidden="1" customWidth="1"/>
    <col min="81" max="83" width="14.5546875" style="377" hidden="1" customWidth="1"/>
    <col min="84" max="84" width="18.5546875" style="377" hidden="1" customWidth="1"/>
    <col min="85" max="86" width="14.5546875" style="377" hidden="1" customWidth="1"/>
    <col min="87" max="87" width="14.5546875" style="378" hidden="1" customWidth="1"/>
    <col min="88" max="88" width="16.44140625" style="378" hidden="1" customWidth="1"/>
    <col min="89" max="90" width="18.44140625" style="378" hidden="1" customWidth="1"/>
    <col min="91" max="91" width="18.44140625" style="379" hidden="1" customWidth="1"/>
    <col min="92" max="92" width="11.5546875" style="377" hidden="1" customWidth="1"/>
    <col min="93" max="96" width="11.44140625" style="380"/>
    <col min="97" max="16384" width="11.44140625" style="349"/>
  </cols>
  <sheetData>
    <row r="1" spans="1:96" ht="23.25" customHeight="1" thickTop="1" x14ac:dyDescent="0.25">
      <c r="B1" s="1927"/>
      <c r="C1" s="1928"/>
      <c r="D1" s="1928"/>
      <c r="E1" s="1928"/>
      <c r="F1" s="1929"/>
      <c r="G1" s="1971" t="e">
        <f>+#REF!</f>
        <v>#REF!</v>
      </c>
      <c r="H1" s="1972"/>
      <c r="I1" s="1972"/>
      <c r="J1" s="1972"/>
      <c r="K1" s="1972"/>
      <c r="L1" s="1972"/>
      <c r="M1" s="1972"/>
      <c r="N1" s="1972"/>
      <c r="O1" s="1972"/>
      <c r="P1" s="1972"/>
      <c r="Q1" s="1972"/>
      <c r="R1" s="1972"/>
      <c r="S1" s="1972"/>
      <c r="T1" s="1972"/>
      <c r="U1" s="1972"/>
      <c r="V1" s="1972"/>
      <c r="W1" s="1972"/>
      <c r="X1" s="1973"/>
      <c r="Y1" s="345"/>
      <c r="Z1" s="345"/>
      <c r="AA1" s="345"/>
      <c r="AB1" s="345"/>
      <c r="AC1" s="345"/>
      <c r="AD1" s="345"/>
      <c r="AE1" s="345"/>
      <c r="AF1" s="345"/>
      <c r="AG1" s="345"/>
      <c r="AH1" s="346"/>
      <c r="AI1" s="346"/>
      <c r="AO1" s="376"/>
    </row>
    <row r="2" spans="1:96" ht="23.25" customHeight="1" thickBot="1" x14ac:dyDescent="0.3">
      <c r="B2" s="1965"/>
      <c r="C2" s="1966"/>
      <c r="D2" s="1966"/>
      <c r="E2" s="1966"/>
      <c r="F2" s="1967"/>
      <c r="G2" s="1974"/>
      <c r="H2" s="1975"/>
      <c r="I2" s="1975"/>
      <c r="J2" s="1975"/>
      <c r="K2" s="1975"/>
      <c r="L2" s="1975"/>
      <c r="M2" s="1975"/>
      <c r="N2" s="1975"/>
      <c r="O2" s="1975"/>
      <c r="P2" s="1975"/>
      <c r="Q2" s="1975"/>
      <c r="R2" s="1975"/>
      <c r="S2" s="1975"/>
      <c r="T2" s="1975"/>
      <c r="U2" s="1975"/>
      <c r="V2" s="1975"/>
      <c r="W2" s="1975"/>
      <c r="X2" s="1976"/>
      <c r="Y2" s="345"/>
      <c r="Z2" s="345"/>
      <c r="AA2" s="345"/>
      <c r="AB2" s="345"/>
      <c r="AC2" s="345"/>
      <c r="AD2" s="345"/>
      <c r="AE2" s="345"/>
      <c r="AF2" s="345"/>
      <c r="AG2" s="345"/>
      <c r="AH2" s="346"/>
      <c r="AI2" s="346"/>
      <c r="AO2" s="376"/>
    </row>
    <row r="3" spans="1:96" ht="23.25" customHeight="1" thickTop="1" x14ac:dyDescent="0.25">
      <c r="B3" s="1965"/>
      <c r="C3" s="1966"/>
      <c r="D3" s="1966"/>
      <c r="E3" s="1966"/>
      <c r="F3" s="1967"/>
      <c r="G3" s="1977" t="e">
        <f>+#REF!</f>
        <v>#REF!</v>
      </c>
      <c r="H3" s="1978"/>
      <c r="I3" s="1978"/>
      <c r="J3" s="1978"/>
      <c r="K3" s="1978"/>
      <c r="L3" s="1978"/>
      <c r="M3" s="1978"/>
      <c r="N3" s="1978"/>
      <c r="O3" s="1978"/>
      <c r="P3" s="1978"/>
      <c r="Q3" s="1978"/>
      <c r="R3" s="1978"/>
      <c r="S3" s="1978"/>
      <c r="T3" s="1978"/>
      <c r="U3" s="1978"/>
      <c r="V3" s="1978"/>
      <c r="W3" s="1978"/>
      <c r="X3" s="1979"/>
      <c r="Y3" s="350"/>
      <c r="Z3" s="350"/>
      <c r="AA3" s="350"/>
      <c r="AB3" s="350"/>
      <c r="AC3" s="350"/>
      <c r="AD3" s="350"/>
      <c r="AE3" s="350"/>
      <c r="AF3" s="350"/>
      <c r="AG3" s="350"/>
      <c r="AH3" s="346"/>
      <c r="AI3" s="1896" t="s">
        <v>742</v>
      </c>
      <c r="AJ3" s="381" t="s">
        <v>611</v>
      </c>
      <c r="AL3" s="1868" t="s">
        <v>1160</v>
      </c>
      <c r="AM3" s="381" t="s">
        <v>611</v>
      </c>
      <c r="AN3" s="1868" t="s">
        <v>1161</v>
      </c>
      <c r="AO3" s="381" t="s">
        <v>359</v>
      </c>
      <c r="AP3" s="1868" t="s">
        <v>1162</v>
      </c>
      <c r="AQ3" s="381" t="s">
        <v>361</v>
      </c>
      <c r="AR3" s="1868" t="s">
        <v>1163</v>
      </c>
      <c r="AS3" s="339">
        <f>+COUNTIF($AL$16:$AL21,2)</f>
        <v>4</v>
      </c>
      <c r="AT3" s="339">
        <f>+COUNTIF($AL$21:$AL30,2)</f>
        <v>8</v>
      </c>
      <c r="AU3" s="339">
        <f>+AT4-1</f>
        <v>8</v>
      </c>
      <c r="AV3" s="381" t="s">
        <v>362</v>
      </c>
      <c r="AW3" s="1868" t="s">
        <v>1164</v>
      </c>
      <c r="AX3" s="381" t="s">
        <v>355</v>
      </c>
      <c r="AY3" s="1868" t="s">
        <v>1165</v>
      </c>
      <c r="AZ3" s="1868"/>
      <c r="BA3" s="381" t="s">
        <v>1166</v>
      </c>
      <c r="BB3" s="1868" t="s">
        <v>1167</v>
      </c>
      <c r="BC3" s="381" t="s">
        <v>357</v>
      </c>
      <c r="BD3" s="1868" t="s">
        <v>1168</v>
      </c>
      <c r="BE3" s="1902">
        <f>+AF10</f>
        <v>90</v>
      </c>
      <c r="BF3" s="1868" t="s">
        <v>376</v>
      </c>
      <c r="BG3" s="1902">
        <f>+AF11</f>
        <v>35</v>
      </c>
      <c r="BH3" s="382"/>
      <c r="BI3" s="1868" t="s">
        <v>1169</v>
      </c>
      <c r="BJ3" s="383"/>
      <c r="BK3" s="1868" t="s">
        <v>1170</v>
      </c>
      <c r="BL3" s="381" t="s">
        <v>611</v>
      </c>
      <c r="BM3" s="1868" t="s">
        <v>1171</v>
      </c>
      <c r="BN3" s="383" t="s">
        <v>368</v>
      </c>
      <c r="BO3" s="1868" t="s">
        <v>1172</v>
      </c>
      <c r="BP3" s="383" t="s">
        <v>371</v>
      </c>
      <c r="BQ3" s="1868" t="s">
        <v>1173</v>
      </c>
      <c r="BR3" s="383" t="s">
        <v>373</v>
      </c>
      <c r="BS3" s="1868" t="s">
        <v>1174</v>
      </c>
      <c r="BT3" s="1923">
        <f>+AF14</f>
        <v>20</v>
      </c>
    </row>
    <row r="4" spans="1:96" ht="23.25" customHeight="1" thickBot="1" x14ac:dyDescent="0.3">
      <c r="B4" s="1965"/>
      <c r="C4" s="1966"/>
      <c r="D4" s="1966"/>
      <c r="E4" s="1966"/>
      <c r="F4" s="1967"/>
      <c r="G4" s="1980"/>
      <c r="H4" s="1981"/>
      <c r="I4" s="1981"/>
      <c r="J4" s="1981"/>
      <c r="K4" s="1981"/>
      <c r="L4" s="1981"/>
      <c r="M4" s="1981"/>
      <c r="N4" s="1981"/>
      <c r="O4" s="1981"/>
      <c r="P4" s="1981"/>
      <c r="Q4" s="1981"/>
      <c r="R4" s="1981"/>
      <c r="S4" s="1981"/>
      <c r="T4" s="1981"/>
      <c r="U4" s="1981"/>
      <c r="V4" s="1981"/>
      <c r="W4" s="1981"/>
      <c r="X4" s="1982"/>
      <c r="Y4" s="350"/>
      <c r="Z4" s="1939" t="s">
        <v>1</v>
      </c>
      <c r="AA4" s="1939"/>
      <c r="AB4" s="1939"/>
      <c r="AC4" s="1939"/>
      <c r="AD4" s="1939"/>
      <c r="AE4" s="384" t="s">
        <v>1253</v>
      </c>
      <c r="AF4" s="384" t="s">
        <v>89</v>
      </c>
      <c r="AG4" s="350"/>
      <c r="AH4" s="346"/>
      <c r="AI4" s="1896"/>
      <c r="AJ4" s="1897">
        <f>IF(AJ3="Cu",Listas!$D$51,IF(AJ3="Al",Listas!D53,))</f>
        <v>1.8350000000000002E-9</v>
      </c>
      <c r="AL4" s="1868"/>
      <c r="AM4" s="1897">
        <f>IF(AM3="Cu",Listas!$D$62,IF(AM3="Al",Listas!D63,))</f>
        <v>1.8349999999999999E-8</v>
      </c>
      <c r="AN4" s="1868"/>
      <c r="AO4" s="1943">
        <f>+AF5</f>
        <v>150</v>
      </c>
      <c r="AP4" s="1868"/>
      <c r="AQ4" s="1940">
        <f>(1-(($BN$4)^($BT$3)))/(1-$BN$4)</f>
        <v>20.127721999849648</v>
      </c>
      <c r="AR4" s="1868"/>
      <c r="AS4" s="383">
        <f>+'CÁLCULO CONDUCTORES DE MT'!$B$14</f>
        <v>1</v>
      </c>
      <c r="AT4" s="383">
        <f>+'H2-CONDUCTORES DE BT'!$B$14</f>
        <v>9</v>
      </c>
      <c r="AU4" s="385">
        <f>18+$AS$3</f>
        <v>22</v>
      </c>
      <c r="AV4" s="1915">
        <f>+AF6</f>
        <v>0.05</v>
      </c>
      <c r="AW4" s="1868"/>
      <c r="AX4" s="1906">
        <f>2*365</f>
        <v>730</v>
      </c>
      <c r="AY4" s="1868"/>
      <c r="AZ4" s="1868"/>
      <c r="BA4" s="1906">
        <v>1</v>
      </c>
      <c r="BB4" s="1868"/>
      <c r="BC4" s="383">
        <f>+AF9</f>
        <v>335.05399999999997</v>
      </c>
      <c r="BD4" s="1868"/>
      <c r="BE4" s="1902"/>
      <c r="BF4" s="1868"/>
      <c r="BG4" s="1902"/>
      <c r="BH4" s="386"/>
      <c r="BI4" s="1868"/>
      <c r="BJ4" s="1917">
        <f>+($BE$3-$BG$3)/(3)+$BG$3</f>
        <v>53.333333333333329</v>
      </c>
      <c r="BK4" s="1868"/>
      <c r="BL4" s="1963">
        <f>IF(BL3="Cu",Listas!$D$57,IF(BL3="Al",Listas!$D$58,))</f>
        <v>3.8999999999999998E-3</v>
      </c>
      <c r="BM4" s="1868"/>
      <c r="BN4" s="1919">
        <f>+((1+$BP$4/1)^2*(1+$BR$4/1))/(1+$AV$4/1)</f>
        <v>1.0006695238095238</v>
      </c>
      <c r="BO4" s="1868"/>
      <c r="BP4" s="2000">
        <f>+AF12</f>
        <v>0.01</v>
      </c>
      <c r="BQ4" s="1868"/>
      <c r="BR4" s="1921">
        <f>+AF13</f>
        <v>0.03</v>
      </c>
      <c r="BS4" s="1868"/>
      <c r="BT4" s="1923"/>
    </row>
    <row r="5" spans="1:96" ht="23.25" customHeight="1" thickTop="1" x14ac:dyDescent="0.25">
      <c r="B5" s="1965"/>
      <c r="C5" s="1966"/>
      <c r="D5" s="1966"/>
      <c r="E5" s="1966"/>
      <c r="F5" s="1967"/>
      <c r="G5" s="1927" t="s">
        <v>416</v>
      </c>
      <c r="H5" s="1928"/>
      <c r="I5" s="1928"/>
      <c r="J5" s="1928"/>
      <c r="K5" s="1928"/>
      <c r="L5" s="1928"/>
      <c r="M5" s="1928"/>
      <c r="N5" s="1928"/>
      <c r="O5" s="1929"/>
      <c r="P5" s="1927" t="s">
        <v>3</v>
      </c>
      <c r="Q5" s="1928"/>
      <c r="R5" s="1929"/>
      <c r="S5" s="1927" t="s">
        <v>4</v>
      </c>
      <c r="T5" s="1928"/>
      <c r="U5" s="1929"/>
      <c r="V5" s="1927" t="s">
        <v>5</v>
      </c>
      <c r="W5" s="1928"/>
      <c r="X5" s="1929"/>
      <c r="Y5" s="387"/>
      <c r="Z5" s="1942" t="s">
        <v>1254</v>
      </c>
      <c r="AA5" s="1942"/>
      <c r="AB5" s="1942"/>
      <c r="AC5" s="1942"/>
      <c r="AD5" s="1942"/>
      <c r="AE5" s="388" t="s">
        <v>1255</v>
      </c>
      <c r="AF5" s="389">
        <v>150</v>
      </c>
      <c r="AG5" s="387"/>
      <c r="AH5" s="346"/>
      <c r="AI5" s="1896"/>
      <c r="AJ5" s="1898"/>
      <c r="AL5" s="1868"/>
      <c r="AM5" s="1898"/>
      <c r="AN5" s="1868"/>
      <c r="AO5" s="1944"/>
      <c r="AP5" s="1868"/>
      <c r="AQ5" s="1941"/>
      <c r="AR5" s="1868"/>
      <c r="AV5" s="1916"/>
      <c r="AW5" s="1868"/>
      <c r="AX5" s="1908"/>
      <c r="AY5" s="1868"/>
      <c r="AZ5" s="1868"/>
      <c r="BA5" s="1908"/>
      <c r="BB5" s="1868"/>
      <c r="BC5" s="390">
        <f>+BC4/1000</f>
        <v>0.33505399999999996</v>
      </c>
      <c r="BD5" s="1868"/>
      <c r="BE5" s="1902"/>
      <c r="BF5" s="1868"/>
      <c r="BG5" s="1902"/>
      <c r="BH5" s="391"/>
      <c r="BI5" s="1868"/>
      <c r="BJ5" s="1918"/>
      <c r="BK5" s="1868"/>
      <c r="BL5" s="1964"/>
      <c r="BM5" s="1868"/>
      <c r="BN5" s="1920"/>
      <c r="BO5" s="1868"/>
      <c r="BP5" s="2001"/>
      <c r="BQ5" s="1868"/>
      <c r="BR5" s="1922"/>
      <c r="BS5" s="1868"/>
      <c r="BT5" s="1923"/>
    </row>
    <row r="6" spans="1:96" ht="23.25" customHeight="1" thickBot="1" x14ac:dyDescent="0.3">
      <c r="B6" s="1968"/>
      <c r="C6" s="1969"/>
      <c r="D6" s="1969"/>
      <c r="E6" s="1969"/>
      <c r="F6" s="1970"/>
      <c r="G6" s="1930" t="e">
        <f>+#REF!</f>
        <v>#REF!</v>
      </c>
      <c r="H6" s="1931"/>
      <c r="I6" s="1931"/>
      <c r="J6" s="1931"/>
      <c r="K6" s="1931"/>
      <c r="L6" s="1931"/>
      <c r="M6" s="1931"/>
      <c r="N6" s="1931"/>
      <c r="O6" s="1932"/>
      <c r="P6" s="1933" t="e">
        <f>+#REF!</f>
        <v>#REF!</v>
      </c>
      <c r="Q6" s="1934"/>
      <c r="R6" s="1935"/>
      <c r="S6" s="1936" t="e">
        <f>+#REF!</f>
        <v>#REF!</v>
      </c>
      <c r="T6" s="1937"/>
      <c r="U6" s="1938"/>
      <c r="V6" s="1936"/>
      <c r="W6" s="1937"/>
      <c r="X6" s="1938"/>
      <c r="Y6" s="392"/>
      <c r="Z6" s="1942" t="s">
        <v>1256</v>
      </c>
      <c r="AA6" s="1942"/>
      <c r="AB6" s="1942"/>
      <c r="AC6" s="1942"/>
      <c r="AD6" s="1942"/>
      <c r="AE6" s="388" t="s">
        <v>586</v>
      </c>
      <c r="AF6" s="393">
        <v>0.05</v>
      </c>
      <c r="AG6" s="392"/>
      <c r="AH6" s="346"/>
      <c r="AI6" s="377"/>
      <c r="AJ6" s="377"/>
      <c r="AK6" s="377"/>
      <c r="AL6" s="377"/>
      <c r="AM6" s="377"/>
      <c r="AN6" s="377"/>
      <c r="CO6" s="380">
        <v>4.05</v>
      </c>
    </row>
    <row r="7" spans="1:96" s="397" customFormat="1" ht="11.25" customHeight="1" thickTop="1" x14ac:dyDescent="0.2">
      <c r="A7" s="394"/>
      <c r="B7" s="395"/>
      <c r="C7" s="395"/>
      <c r="D7" s="395"/>
      <c r="E7" s="395"/>
      <c r="F7" s="395"/>
      <c r="G7" s="395"/>
      <c r="H7" s="396"/>
      <c r="I7" s="395"/>
      <c r="J7" s="395"/>
      <c r="K7" s="395"/>
      <c r="L7" s="395"/>
      <c r="M7" s="395"/>
      <c r="N7" s="395"/>
      <c r="P7" s="395"/>
      <c r="Q7" s="395"/>
      <c r="R7" s="395"/>
      <c r="S7" s="395"/>
      <c r="T7" s="395"/>
      <c r="U7" s="395"/>
      <c r="V7" s="395"/>
      <c r="W7" s="395"/>
      <c r="X7" s="337"/>
      <c r="Y7" s="392"/>
      <c r="Z7" s="398"/>
      <c r="AA7" s="398"/>
      <c r="AB7" s="398"/>
      <c r="AC7" s="398"/>
      <c r="AD7" s="398"/>
      <c r="AE7" s="399"/>
      <c r="AF7" s="399"/>
      <c r="AG7" s="392"/>
      <c r="AH7" s="351"/>
      <c r="AI7" s="351"/>
      <c r="AJ7" s="351"/>
      <c r="AK7" s="351"/>
      <c r="AL7" s="351"/>
      <c r="AM7" s="351"/>
      <c r="AN7" s="351"/>
      <c r="AO7" s="1893" t="s">
        <v>1175</v>
      </c>
      <c r="AP7" s="1869" t="s">
        <v>1176</v>
      </c>
      <c r="AQ7" s="1869" t="s">
        <v>1177</v>
      </c>
      <c r="AR7" s="1869" t="s">
        <v>1162</v>
      </c>
      <c r="AS7" s="1890" t="s">
        <v>1178</v>
      </c>
      <c r="AT7" s="1890" t="s">
        <v>1178</v>
      </c>
      <c r="AU7" s="1890" t="s">
        <v>1178</v>
      </c>
      <c r="AV7" s="1869" t="s">
        <v>1179</v>
      </c>
      <c r="AW7" s="1869" t="s">
        <v>1180</v>
      </c>
      <c r="AX7" s="1893" t="s">
        <v>1175</v>
      </c>
      <c r="AY7" s="1869" t="s">
        <v>1181</v>
      </c>
      <c r="AZ7" s="1893" t="s">
        <v>1175</v>
      </c>
      <c r="BA7" s="1869" t="s">
        <v>1182</v>
      </c>
      <c r="BB7" s="1869" t="s">
        <v>1183</v>
      </c>
      <c r="BC7" s="1869" t="s">
        <v>1184</v>
      </c>
      <c r="BD7" s="1869" t="s">
        <v>1183</v>
      </c>
      <c r="BE7" s="1869" t="s">
        <v>1185</v>
      </c>
      <c r="BF7" s="1869" t="s">
        <v>1186</v>
      </c>
      <c r="BG7" s="1869" t="s">
        <v>1187</v>
      </c>
      <c r="BH7" s="1869" t="s">
        <v>1188</v>
      </c>
      <c r="BI7" s="1869" t="s">
        <v>1189</v>
      </c>
      <c r="BJ7" s="1869" t="s">
        <v>1190</v>
      </c>
      <c r="BK7" s="1869" t="s">
        <v>1191</v>
      </c>
      <c r="BL7" s="1869" t="s">
        <v>1192</v>
      </c>
      <c r="BM7" s="1869" t="s">
        <v>1193</v>
      </c>
      <c r="BN7" s="1869" t="s">
        <v>1194</v>
      </c>
      <c r="BO7" s="1869" t="s">
        <v>1195</v>
      </c>
      <c r="BP7" s="1869" t="s">
        <v>1196</v>
      </c>
      <c r="BQ7" s="1869" t="s">
        <v>1197</v>
      </c>
      <c r="BR7" s="1869" t="s">
        <v>1198</v>
      </c>
      <c r="BS7" s="1869" t="s">
        <v>1199</v>
      </c>
      <c r="BT7" s="1869" t="s">
        <v>1200</v>
      </c>
      <c r="BU7" s="1903" t="s">
        <v>1201</v>
      </c>
      <c r="BV7" s="1903" t="s">
        <v>1202</v>
      </c>
      <c r="BW7" s="1903" t="s">
        <v>1203</v>
      </c>
      <c r="BX7" s="1872" t="s">
        <v>1204</v>
      </c>
      <c r="BY7" s="1872" t="s">
        <v>1205</v>
      </c>
      <c r="BZ7" s="1872" t="s">
        <v>1206</v>
      </c>
      <c r="CA7" s="1872" t="s">
        <v>1207</v>
      </c>
      <c r="CB7" s="1869" t="s">
        <v>1208</v>
      </c>
      <c r="CC7" s="1872" t="s">
        <v>1205</v>
      </c>
      <c r="CD7" s="1872" t="s">
        <v>1206</v>
      </c>
      <c r="CE7" s="1872" t="s">
        <v>1209</v>
      </c>
      <c r="CF7" s="1869" t="s">
        <v>1208</v>
      </c>
      <c r="CG7" s="1872" t="s">
        <v>1205</v>
      </c>
      <c r="CH7" s="1872" t="s">
        <v>1206</v>
      </c>
      <c r="CI7" s="1872" t="s">
        <v>1210</v>
      </c>
      <c r="CJ7" s="1869" t="s">
        <v>1208</v>
      </c>
      <c r="CK7" s="1872" t="s">
        <v>1211</v>
      </c>
      <c r="CL7" s="1872" t="s">
        <v>1212</v>
      </c>
      <c r="CM7" s="1872" t="s">
        <v>1213</v>
      </c>
      <c r="CN7" s="1872" t="s">
        <v>1257</v>
      </c>
      <c r="CO7" s="400"/>
      <c r="CP7" s="400"/>
      <c r="CQ7" s="400"/>
      <c r="CR7" s="400"/>
    </row>
    <row r="8" spans="1:96" s="355" customFormat="1" ht="11.25" customHeight="1" x14ac:dyDescent="0.25">
      <c r="A8" s="352"/>
      <c r="B8" s="353" t="s">
        <v>441</v>
      </c>
      <c r="C8" s="353" t="s">
        <v>442</v>
      </c>
      <c r="D8" s="353" t="s">
        <v>443</v>
      </c>
      <c r="E8" s="1947" t="s">
        <v>444</v>
      </c>
      <c r="F8" s="1948"/>
      <c r="G8" s="353" t="s">
        <v>445</v>
      </c>
      <c r="H8" s="353" t="s">
        <v>446</v>
      </c>
      <c r="I8" s="353" t="s">
        <v>447</v>
      </c>
      <c r="J8" s="353" t="s">
        <v>448</v>
      </c>
      <c r="K8" s="353" t="s">
        <v>449</v>
      </c>
      <c r="L8" s="353" t="s">
        <v>450</v>
      </c>
      <c r="M8" s="353" t="s">
        <v>451</v>
      </c>
      <c r="N8" s="353" t="s">
        <v>452</v>
      </c>
      <c r="O8" s="353" t="s">
        <v>453</v>
      </c>
      <c r="P8" s="395"/>
      <c r="Q8" s="353" t="s">
        <v>454</v>
      </c>
      <c r="R8" s="353" t="s">
        <v>455</v>
      </c>
      <c r="S8" s="353" t="s">
        <v>456</v>
      </c>
      <c r="T8" s="353" t="s">
        <v>457</v>
      </c>
      <c r="U8" s="353" t="s">
        <v>458</v>
      </c>
      <c r="V8" s="353" t="s">
        <v>459</v>
      </c>
      <c r="W8" s="353" t="s">
        <v>460</v>
      </c>
      <c r="X8" s="353" t="s">
        <v>461</v>
      </c>
      <c r="Y8" s="392"/>
      <c r="Z8" s="398"/>
      <c r="AA8" s="398"/>
      <c r="AB8" s="398"/>
      <c r="AC8" s="398"/>
      <c r="AD8" s="398"/>
      <c r="AE8" s="399"/>
      <c r="AF8" s="399"/>
      <c r="AG8" s="392"/>
      <c r="AH8" s="353" t="s">
        <v>463</v>
      </c>
      <c r="AI8" s="353" t="s">
        <v>464</v>
      </c>
      <c r="AJ8" s="353" t="s">
        <v>465</v>
      </c>
      <c r="AK8" s="353" t="s">
        <v>466</v>
      </c>
      <c r="AL8" s="353" t="s">
        <v>467</v>
      </c>
      <c r="AM8" s="353" t="s">
        <v>468</v>
      </c>
      <c r="AN8" s="353" t="s">
        <v>997</v>
      </c>
      <c r="AO8" s="1894"/>
      <c r="AP8" s="1870"/>
      <c r="AQ8" s="1870"/>
      <c r="AR8" s="1870"/>
      <c r="AS8" s="1891"/>
      <c r="AT8" s="1891"/>
      <c r="AU8" s="1891"/>
      <c r="AV8" s="1870"/>
      <c r="AW8" s="1870"/>
      <c r="AX8" s="1894"/>
      <c r="AY8" s="1870"/>
      <c r="AZ8" s="1894"/>
      <c r="BA8" s="1870"/>
      <c r="BB8" s="1870"/>
      <c r="BC8" s="1870"/>
      <c r="BD8" s="1870"/>
      <c r="BE8" s="1870"/>
      <c r="BF8" s="1870"/>
      <c r="BG8" s="1870"/>
      <c r="BH8" s="1870"/>
      <c r="BI8" s="1870"/>
      <c r="BJ8" s="1870"/>
      <c r="BK8" s="1870"/>
      <c r="BL8" s="1870"/>
      <c r="BM8" s="1870"/>
      <c r="BN8" s="1870"/>
      <c r="BO8" s="1870"/>
      <c r="BP8" s="1870"/>
      <c r="BQ8" s="1870"/>
      <c r="BR8" s="1870"/>
      <c r="BS8" s="1870"/>
      <c r="BT8" s="1870"/>
      <c r="BU8" s="1904"/>
      <c r="BV8" s="1904"/>
      <c r="BW8" s="1904"/>
      <c r="BX8" s="1872"/>
      <c r="BY8" s="1872"/>
      <c r="BZ8" s="1872"/>
      <c r="CA8" s="1872"/>
      <c r="CB8" s="1870"/>
      <c r="CC8" s="1872"/>
      <c r="CD8" s="1872"/>
      <c r="CE8" s="1872"/>
      <c r="CF8" s="1870"/>
      <c r="CG8" s="1872"/>
      <c r="CH8" s="1872"/>
      <c r="CI8" s="1872"/>
      <c r="CJ8" s="1870"/>
      <c r="CK8" s="1872"/>
      <c r="CL8" s="1872"/>
      <c r="CM8" s="1872"/>
      <c r="CN8" s="1872"/>
      <c r="CO8" s="401"/>
      <c r="CP8" s="401"/>
      <c r="CQ8" s="401"/>
      <c r="CR8" s="401"/>
    </row>
    <row r="9" spans="1:96" s="357" customFormat="1" ht="19.5" customHeight="1" x14ac:dyDescent="0.25">
      <c r="A9" s="344"/>
      <c r="B9" s="1958" t="s">
        <v>0</v>
      </c>
      <c r="C9" s="1961" t="s">
        <v>1066</v>
      </c>
      <c r="D9" s="1961" t="s">
        <v>508</v>
      </c>
      <c r="E9" s="1994" t="s">
        <v>1215</v>
      </c>
      <c r="F9" s="1995"/>
      <c r="G9" s="1994" t="s">
        <v>512</v>
      </c>
      <c r="H9" s="1995"/>
      <c r="I9" s="1949" t="s">
        <v>513</v>
      </c>
      <c r="J9" s="1949" t="s">
        <v>1216</v>
      </c>
      <c r="K9" s="1949" t="s">
        <v>1258</v>
      </c>
      <c r="L9" s="1991" t="s">
        <v>1217</v>
      </c>
      <c r="M9" s="1775" t="s">
        <v>1080</v>
      </c>
      <c r="N9" s="1983" t="s">
        <v>1218</v>
      </c>
      <c r="O9" s="1989" t="s">
        <v>1078</v>
      </c>
      <c r="P9" s="356"/>
      <c r="Q9" s="1983" t="s">
        <v>1211</v>
      </c>
      <c r="R9" s="1983" t="s">
        <v>1212</v>
      </c>
      <c r="S9" s="1983" t="s">
        <v>1213</v>
      </c>
      <c r="T9" s="1775" t="s">
        <v>1080</v>
      </c>
      <c r="U9" s="1983" t="s">
        <v>1180</v>
      </c>
      <c r="V9" s="1775" t="s">
        <v>1080</v>
      </c>
      <c r="W9" s="1983" t="s">
        <v>1181</v>
      </c>
      <c r="X9" s="1983" t="s">
        <v>1221</v>
      </c>
      <c r="Y9" s="392"/>
      <c r="Z9" s="1942" t="s">
        <v>1259</v>
      </c>
      <c r="AA9" s="1942"/>
      <c r="AB9" s="1942"/>
      <c r="AC9" s="1942"/>
      <c r="AD9" s="1942"/>
      <c r="AE9" s="388" t="s">
        <v>1260</v>
      </c>
      <c r="AF9" s="402">
        <v>335.05399999999997</v>
      </c>
      <c r="AG9" s="392"/>
      <c r="AH9" s="1775" t="s">
        <v>1080</v>
      </c>
      <c r="AI9" s="1762" t="s">
        <v>1081</v>
      </c>
      <c r="AJ9" s="1775" t="s">
        <v>1082</v>
      </c>
      <c r="AK9" s="1762" t="s">
        <v>1083</v>
      </c>
      <c r="AL9" s="1899" t="s">
        <v>1084</v>
      </c>
      <c r="AM9" s="1762" t="s">
        <v>1222</v>
      </c>
      <c r="AN9" s="1762" t="s">
        <v>1223</v>
      </c>
      <c r="AO9" s="1894"/>
      <c r="AP9" s="1870"/>
      <c r="AQ9" s="1870"/>
      <c r="AR9" s="1870"/>
      <c r="AS9" s="1891"/>
      <c r="AT9" s="1891"/>
      <c r="AU9" s="1891"/>
      <c r="AV9" s="1870"/>
      <c r="AW9" s="1870"/>
      <c r="AX9" s="1894"/>
      <c r="AY9" s="1870"/>
      <c r="AZ9" s="1894"/>
      <c r="BA9" s="1870"/>
      <c r="BB9" s="1870"/>
      <c r="BC9" s="1870"/>
      <c r="BD9" s="1870"/>
      <c r="BE9" s="1870"/>
      <c r="BF9" s="1870"/>
      <c r="BG9" s="1870"/>
      <c r="BH9" s="1870"/>
      <c r="BI9" s="1870"/>
      <c r="BJ9" s="1870"/>
      <c r="BK9" s="1870"/>
      <c r="BL9" s="1870"/>
      <c r="BM9" s="1870"/>
      <c r="BN9" s="1870"/>
      <c r="BO9" s="1870"/>
      <c r="BP9" s="1870"/>
      <c r="BQ9" s="1870"/>
      <c r="BR9" s="1870"/>
      <c r="BS9" s="1870"/>
      <c r="BT9" s="1870"/>
      <c r="BU9" s="1904"/>
      <c r="BV9" s="1904"/>
      <c r="BW9" s="1904"/>
      <c r="BX9" s="1872"/>
      <c r="BY9" s="1872"/>
      <c r="BZ9" s="1872"/>
      <c r="CA9" s="1872"/>
      <c r="CB9" s="1870"/>
      <c r="CC9" s="1872"/>
      <c r="CD9" s="1872"/>
      <c r="CE9" s="1872"/>
      <c r="CF9" s="1870"/>
      <c r="CG9" s="1872"/>
      <c r="CH9" s="1872"/>
      <c r="CI9" s="1872"/>
      <c r="CJ9" s="1870"/>
      <c r="CK9" s="1872"/>
      <c r="CL9" s="1872"/>
      <c r="CM9" s="1872"/>
      <c r="CN9" s="1872"/>
      <c r="CO9" s="401"/>
      <c r="CP9" s="401"/>
      <c r="CQ9" s="401"/>
      <c r="CR9" s="401"/>
    </row>
    <row r="10" spans="1:96" s="357" customFormat="1" ht="20.25" customHeight="1" x14ac:dyDescent="0.25">
      <c r="A10" s="344"/>
      <c r="B10" s="1959"/>
      <c r="C10" s="1962"/>
      <c r="D10" s="1962"/>
      <c r="E10" s="1996"/>
      <c r="F10" s="1997"/>
      <c r="G10" s="1998"/>
      <c r="H10" s="1999"/>
      <c r="I10" s="1950"/>
      <c r="J10" s="1950"/>
      <c r="K10" s="1950"/>
      <c r="L10" s="1992"/>
      <c r="M10" s="1776"/>
      <c r="N10" s="1984"/>
      <c r="O10" s="1990"/>
      <c r="P10" s="356"/>
      <c r="Q10" s="1984"/>
      <c r="R10" s="1984"/>
      <c r="S10" s="1984"/>
      <c r="T10" s="1776"/>
      <c r="U10" s="1984"/>
      <c r="V10" s="1776"/>
      <c r="W10" s="1984"/>
      <c r="X10" s="1984"/>
      <c r="Y10" s="392"/>
      <c r="Z10" s="1942" t="s">
        <v>1261</v>
      </c>
      <c r="AA10" s="1942"/>
      <c r="AB10" s="1942"/>
      <c r="AC10" s="1942"/>
      <c r="AD10" s="1942"/>
      <c r="AE10" s="388" t="s">
        <v>1262</v>
      </c>
      <c r="AF10" s="402">
        <v>90</v>
      </c>
      <c r="AG10" s="392"/>
      <c r="AH10" s="1776"/>
      <c r="AI10" s="1762"/>
      <c r="AJ10" s="1776"/>
      <c r="AK10" s="1762"/>
      <c r="AL10" s="1900"/>
      <c r="AM10" s="1762"/>
      <c r="AN10" s="1762"/>
      <c r="AO10" s="1894"/>
      <c r="AP10" s="1870"/>
      <c r="AQ10" s="1870"/>
      <c r="AR10" s="1870"/>
      <c r="AS10" s="1891"/>
      <c r="AT10" s="1891"/>
      <c r="AU10" s="1891"/>
      <c r="AV10" s="1870"/>
      <c r="AW10" s="1870"/>
      <c r="AX10" s="1894"/>
      <c r="AY10" s="1870"/>
      <c r="AZ10" s="1894"/>
      <c r="BA10" s="1870"/>
      <c r="BB10" s="1870"/>
      <c r="BC10" s="1870"/>
      <c r="BD10" s="1870"/>
      <c r="BE10" s="1870"/>
      <c r="BF10" s="1870"/>
      <c r="BG10" s="1870"/>
      <c r="BH10" s="1870"/>
      <c r="BI10" s="1870"/>
      <c r="BJ10" s="1870"/>
      <c r="BK10" s="1870"/>
      <c r="BL10" s="1870"/>
      <c r="BM10" s="1870"/>
      <c r="BN10" s="1870"/>
      <c r="BO10" s="1870"/>
      <c r="BP10" s="1870"/>
      <c r="BQ10" s="1870"/>
      <c r="BR10" s="1870"/>
      <c r="BS10" s="1870"/>
      <c r="BT10" s="1870"/>
      <c r="BU10" s="1904"/>
      <c r="BV10" s="1904"/>
      <c r="BW10" s="1904"/>
      <c r="BX10" s="1872"/>
      <c r="BY10" s="1872"/>
      <c r="BZ10" s="1872"/>
      <c r="CA10" s="1872"/>
      <c r="CB10" s="1870"/>
      <c r="CC10" s="1872"/>
      <c r="CD10" s="1872"/>
      <c r="CE10" s="1872"/>
      <c r="CF10" s="1870"/>
      <c r="CG10" s="1872"/>
      <c r="CH10" s="1872"/>
      <c r="CI10" s="1872"/>
      <c r="CJ10" s="1870"/>
      <c r="CK10" s="1872"/>
      <c r="CL10" s="1872"/>
      <c r="CM10" s="1872"/>
      <c r="CN10" s="1872"/>
      <c r="CO10" s="401"/>
      <c r="CP10" s="401"/>
      <c r="CQ10" s="401"/>
      <c r="CR10" s="401"/>
    </row>
    <row r="11" spans="1:96" s="357" customFormat="1" ht="19.5" customHeight="1" x14ac:dyDescent="0.25">
      <c r="A11" s="344"/>
      <c r="B11" s="1959"/>
      <c r="C11" s="1962"/>
      <c r="D11" s="1962"/>
      <c r="E11" s="1996"/>
      <c r="F11" s="1997"/>
      <c r="G11" s="1986" t="s">
        <v>552</v>
      </c>
      <c r="H11" s="1986" t="s">
        <v>1034</v>
      </c>
      <c r="I11" s="1950"/>
      <c r="J11" s="1950"/>
      <c r="K11" s="1950"/>
      <c r="L11" s="1992"/>
      <c r="M11" s="1776"/>
      <c r="N11" s="1984"/>
      <c r="O11" s="1990"/>
      <c r="P11" s="356"/>
      <c r="Q11" s="1984"/>
      <c r="R11" s="1984"/>
      <c r="S11" s="1984"/>
      <c r="T11" s="1776"/>
      <c r="U11" s="1984"/>
      <c r="V11" s="1776"/>
      <c r="W11" s="1984"/>
      <c r="X11" s="1984"/>
      <c r="Y11" s="392"/>
      <c r="Z11" s="1942" t="s">
        <v>1263</v>
      </c>
      <c r="AA11" s="1942"/>
      <c r="AB11" s="1942"/>
      <c r="AC11" s="1942"/>
      <c r="AD11" s="1942"/>
      <c r="AE11" s="388" t="s">
        <v>1262</v>
      </c>
      <c r="AF11" s="402">
        <v>35</v>
      </c>
      <c r="AG11" s="392"/>
      <c r="AH11" s="1776"/>
      <c r="AI11" s="1762"/>
      <c r="AJ11" s="1776"/>
      <c r="AK11" s="1762"/>
      <c r="AL11" s="1900"/>
      <c r="AM11" s="1762"/>
      <c r="AN11" s="1762"/>
      <c r="AO11" s="1894"/>
      <c r="AP11" s="1870"/>
      <c r="AQ11" s="1870"/>
      <c r="AR11" s="1870"/>
      <c r="AS11" s="1891"/>
      <c r="AT11" s="1891"/>
      <c r="AU11" s="1891"/>
      <c r="AV11" s="1870"/>
      <c r="AW11" s="1870"/>
      <c r="AX11" s="1894"/>
      <c r="AY11" s="1870"/>
      <c r="AZ11" s="1894"/>
      <c r="BA11" s="1870"/>
      <c r="BB11" s="1870"/>
      <c r="BC11" s="1870"/>
      <c r="BD11" s="1870"/>
      <c r="BE11" s="1870"/>
      <c r="BF11" s="1870"/>
      <c r="BG11" s="1870"/>
      <c r="BH11" s="1870"/>
      <c r="BI11" s="1870"/>
      <c r="BJ11" s="1870"/>
      <c r="BK11" s="1870"/>
      <c r="BL11" s="1870"/>
      <c r="BM11" s="1870"/>
      <c r="BN11" s="1870"/>
      <c r="BO11" s="1870"/>
      <c r="BP11" s="1870"/>
      <c r="BQ11" s="1870"/>
      <c r="BR11" s="1870"/>
      <c r="BS11" s="1870"/>
      <c r="BT11" s="1870"/>
      <c r="BU11" s="1904"/>
      <c r="BV11" s="1904"/>
      <c r="BW11" s="1904"/>
      <c r="BX11" s="1872"/>
      <c r="BY11" s="1872"/>
      <c r="BZ11" s="1872"/>
      <c r="CA11" s="1872"/>
      <c r="CB11" s="1870"/>
      <c r="CC11" s="1872"/>
      <c r="CD11" s="1872"/>
      <c r="CE11" s="1872"/>
      <c r="CF11" s="1870"/>
      <c r="CG11" s="1872"/>
      <c r="CH11" s="1872"/>
      <c r="CI11" s="1872"/>
      <c r="CJ11" s="1870"/>
      <c r="CK11" s="1872"/>
      <c r="CL11" s="1872"/>
      <c r="CM11" s="1872"/>
      <c r="CN11" s="1872"/>
      <c r="CO11" s="401"/>
      <c r="CP11" s="401"/>
      <c r="CQ11" s="401"/>
      <c r="CR11" s="401"/>
    </row>
    <row r="12" spans="1:96" s="357" customFormat="1" ht="19.5" customHeight="1" x14ac:dyDescent="0.25">
      <c r="A12" s="344"/>
      <c r="B12" s="1959"/>
      <c r="C12" s="1962"/>
      <c r="D12" s="1962"/>
      <c r="E12" s="1996"/>
      <c r="F12" s="1997"/>
      <c r="G12" s="1987"/>
      <c r="H12" s="1987"/>
      <c r="I12" s="1950"/>
      <c r="J12" s="1950"/>
      <c r="K12" s="1950"/>
      <c r="L12" s="1992"/>
      <c r="M12" s="1776"/>
      <c r="N12" s="1984"/>
      <c r="O12" s="1990"/>
      <c r="P12" s="356"/>
      <c r="Q12" s="1984"/>
      <c r="R12" s="1984"/>
      <c r="S12" s="1984"/>
      <c r="T12" s="1776"/>
      <c r="U12" s="1984"/>
      <c r="V12" s="1776"/>
      <c r="W12" s="1984"/>
      <c r="X12" s="1984"/>
      <c r="Y12" s="392"/>
      <c r="Z12" s="1942" t="s">
        <v>1264</v>
      </c>
      <c r="AA12" s="1942"/>
      <c r="AB12" s="1942"/>
      <c r="AC12" s="1942"/>
      <c r="AD12" s="1942"/>
      <c r="AE12" s="388" t="s">
        <v>586</v>
      </c>
      <c r="AF12" s="393">
        <v>0.01</v>
      </c>
      <c r="AG12" s="392"/>
      <c r="AH12" s="1776"/>
      <c r="AI12" s="1762"/>
      <c r="AJ12" s="1776"/>
      <c r="AK12" s="1762"/>
      <c r="AL12" s="1900"/>
      <c r="AM12" s="1762"/>
      <c r="AN12" s="1762"/>
      <c r="AO12" s="1894"/>
      <c r="AP12" s="1870"/>
      <c r="AQ12" s="1870"/>
      <c r="AR12" s="1870"/>
      <c r="AS12" s="1891"/>
      <c r="AT12" s="1891"/>
      <c r="AU12" s="1891"/>
      <c r="AV12" s="1870"/>
      <c r="AW12" s="1870"/>
      <c r="AX12" s="1894"/>
      <c r="AY12" s="1870"/>
      <c r="AZ12" s="1894"/>
      <c r="BA12" s="1870"/>
      <c r="BB12" s="1870"/>
      <c r="BC12" s="1870"/>
      <c r="BD12" s="1870"/>
      <c r="BE12" s="1870"/>
      <c r="BF12" s="1870"/>
      <c r="BG12" s="1870"/>
      <c r="BH12" s="1870"/>
      <c r="BI12" s="1870"/>
      <c r="BJ12" s="1870"/>
      <c r="BK12" s="1870"/>
      <c r="BL12" s="1870"/>
      <c r="BM12" s="1870"/>
      <c r="BN12" s="1870"/>
      <c r="BO12" s="1870"/>
      <c r="BP12" s="1870"/>
      <c r="BQ12" s="1870"/>
      <c r="BR12" s="1870"/>
      <c r="BS12" s="1870"/>
      <c r="BT12" s="1870"/>
      <c r="BU12" s="1904"/>
      <c r="BV12" s="1904"/>
      <c r="BW12" s="1904"/>
      <c r="BX12" s="1872"/>
      <c r="BY12" s="1872"/>
      <c r="BZ12" s="1872"/>
      <c r="CA12" s="1872"/>
      <c r="CB12" s="1870"/>
      <c r="CC12" s="1872"/>
      <c r="CD12" s="1872"/>
      <c r="CE12" s="1872"/>
      <c r="CF12" s="1870"/>
      <c r="CG12" s="1872"/>
      <c r="CH12" s="1872"/>
      <c r="CI12" s="1872"/>
      <c r="CJ12" s="1870"/>
      <c r="CK12" s="1872"/>
      <c r="CL12" s="1872"/>
      <c r="CM12" s="1872"/>
      <c r="CN12" s="1872"/>
      <c r="CO12" s="401"/>
      <c r="CP12" s="401"/>
      <c r="CQ12" s="401"/>
      <c r="CR12" s="401"/>
    </row>
    <row r="13" spans="1:96" s="357" customFormat="1" ht="19.5" customHeight="1" x14ac:dyDescent="0.25">
      <c r="A13" s="344"/>
      <c r="B13" s="1959"/>
      <c r="C13" s="1962"/>
      <c r="D13" s="1962"/>
      <c r="E13" s="1996"/>
      <c r="F13" s="1997"/>
      <c r="G13" s="1988"/>
      <c r="H13" s="1987"/>
      <c r="I13" s="1950"/>
      <c r="J13" s="1950"/>
      <c r="K13" s="1950"/>
      <c r="L13" s="1993"/>
      <c r="M13" s="1776"/>
      <c r="N13" s="1984"/>
      <c r="O13" s="1990"/>
      <c r="P13" s="356"/>
      <c r="Q13" s="1984"/>
      <c r="R13" s="1984"/>
      <c r="S13" s="1984"/>
      <c r="T13" s="1776"/>
      <c r="U13" s="1985"/>
      <c r="V13" s="1776"/>
      <c r="W13" s="1985"/>
      <c r="X13" s="1984"/>
      <c r="Y13" s="392"/>
      <c r="Z13" s="1942" t="s">
        <v>1265</v>
      </c>
      <c r="AA13" s="1942"/>
      <c r="AB13" s="1942"/>
      <c r="AC13" s="1942"/>
      <c r="AD13" s="1942"/>
      <c r="AE13" s="388" t="s">
        <v>586</v>
      </c>
      <c r="AF13" s="393">
        <v>0.03</v>
      </c>
      <c r="AG13" s="392"/>
      <c r="AH13" s="1776"/>
      <c r="AI13" s="1762"/>
      <c r="AJ13" s="1776"/>
      <c r="AK13" s="1762"/>
      <c r="AL13" s="1901"/>
      <c r="AM13" s="1762"/>
      <c r="AN13" s="1762"/>
      <c r="AO13" s="1894"/>
      <c r="AP13" s="1870"/>
      <c r="AQ13" s="1870"/>
      <c r="AR13" s="1870"/>
      <c r="AS13" s="1891"/>
      <c r="AT13" s="1891"/>
      <c r="AU13" s="1891"/>
      <c r="AV13" s="1870"/>
      <c r="AW13" s="1870"/>
      <c r="AX13" s="1894"/>
      <c r="AY13" s="1870"/>
      <c r="AZ13" s="1894"/>
      <c r="BA13" s="1870"/>
      <c r="BB13" s="1870"/>
      <c r="BC13" s="1870"/>
      <c r="BD13" s="1870"/>
      <c r="BE13" s="1870"/>
      <c r="BF13" s="1870"/>
      <c r="BG13" s="1870"/>
      <c r="BH13" s="1870"/>
      <c r="BI13" s="1870"/>
      <c r="BJ13" s="1870"/>
      <c r="BK13" s="1870"/>
      <c r="BL13" s="1870"/>
      <c r="BM13" s="1870"/>
      <c r="BN13" s="1870"/>
      <c r="BO13" s="1870"/>
      <c r="BP13" s="1870"/>
      <c r="BQ13" s="1870"/>
      <c r="BR13" s="1870"/>
      <c r="BS13" s="1870"/>
      <c r="BT13" s="1870"/>
      <c r="BU13" s="1904"/>
      <c r="BV13" s="1904"/>
      <c r="BW13" s="1904"/>
      <c r="BX13" s="1872"/>
      <c r="BY13" s="1872"/>
      <c r="BZ13" s="1872"/>
      <c r="CA13" s="1872"/>
      <c r="CB13" s="1870"/>
      <c r="CC13" s="1872"/>
      <c r="CD13" s="1872"/>
      <c r="CE13" s="1872"/>
      <c r="CF13" s="1870"/>
      <c r="CG13" s="1872"/>
      <c r="CH13" s="1872"/>
      <c r="CI13" s="1872"/>
      <c r="CJ13" s="1870"/>
      <c r="CK13" s="1872"/>
      <c r="CL13" s="1872"/>
      <c r="CM13" s="1872"/>
      <c r="CN13" s="1872"/>
      <c r="CO13" s="401"/>
      <c r="CP13" s="401"/>
      <c r="CQ13" s="401"/>
      <c r="CR13" s="401"/>
    </row>
    <row r="14" spans="1:96" s="357" customFormat="1" ht="16.5" customHeight="1" x14ac:dyDescent="0.25">
      <c r="A14" s="344"/>
      <c r="B14" s="1960"/>
      <c r="C14" s="1962"/>
      <c r="D14" s="1962"/>
      <c r="E14" s="1996"/>
      <c r="F14" s="1997"/>
      <c r="G14" s="403" t="s">
        <v>1266</v>
      </c>
      <c r="H14" s="1987"/>
      <c r="I14" s="1950"/>
      <c r="J14" s="1950"/>
      <c r="K14" s="1950"/>
      <c r="L14" s="404" t="s">
        <v>582</v>
      </c>
      <c r="M14" s="1777"/>
      <c r="N14" s="1984"/>
      <c r="O14" s="1990"/>
      <c r="P14" s="359"/>
      <c r="Q14" s="1984"/>
      <c r="R14" s="1984"/>
      <c r="S14" s="1984"/>
      <c r="T14" s="1777"/>
      <c r="U14" s="405" t="s">
        <v>1224</v>
      </c>
      <c r="V14" s="1777"/>
      <c r="W14" s="405" t="s">
        <v>1224</v>
      </c>
      <c r="X14" s="1984"/>
      <c r="Y14" s="392"/>
      <c r="Z14" s="1942" t="s">
        <v>1267</v>
      </c>
      <c r="AA14" s="1942"/>
      <c r="AB14" s="1942"/>
      <c r="AC14" s="1942"/>
      <c r="AD14" s="1942"/>
      <c r="AE14" s="388" t="s">
        <v>1268</v>
      </c>
      <c r="AF14" s="406">
        <v>20</v>
      </c>
      <c r="AG14" s="392"/>
      <c r="AH14" s="1777"/>
      <c r="AI14" s="1762"/>
      <c r="AJ14" s="1777"/>
      <c r="AK14" s="1762"/>
      <c r="AL14" s="358" t="s">
        <v>587</v>
      </c>
      <c r="AM14" s="1762"/>
      <c r="AN14" s="1762"/>
      <c r="AO14" s="1895"/>
      <c r="AP14" s="1871"/>
      <c r="AQ14" s="1871"/>
      <c r="AR14" s="1871"/>
      <c r="AS14" s="1892"/>
      <c r="AT14" s="1892"/>
      <c r="AU14" s="1892"/>
      <c r="AV14" s="1871"/>
      <c r="AW14" s="1871"/>
      <c r="AX14" s="1895"/>
      <c r="AY14" s="1871"/>
      <c r="AZ14" s="1895"/>
      <c r="BA14" s="1871"/>
      <c r="BB14" s="1871"/>
      <c r="BC14" s="1871"/>
      <c r="BD14" s="1871"/>
      <c r="BE14" s="1871"/>
      <c r="BF14" s="1871"/>
      <c r="BG14" s="1871"/>
      <c r="BH14" s="1871"/>
      <c r="BI14" s="1871"/>
      <c r="BJ14" s="1871"/>
      <c r="BK14" s="1871"/>
      <c r="BL14" s="1871"/>
      <c r="BM14" s="1871"/>
      <c r="BN14" s="1871"/>
      <c r="BO14" s="1871"/>
      <c r="BP14" s="1871"/>
      <c r="BQ14" s="1871"/>
      <c r="BR14" s="1871"/>
      <c r="BS14" s="1871"/>
      <c r="BT14" s="1871"/>
      <c r="BU14" s="1905"/>
      <c r="BV14" s="1905"/>
      <c r="BW14" s="1905"/>
      <c r="BX14" s="1872"/>
      <c r="BY14" s="1872"/>
      <c r="BZ14" s="1872"/>
      <c r="CA14" s="1872"/>
      <c r="CB14" s="1871"/>
      <c r="CC14" s="1872"/>
      <c r="CD14" s="1872"/>
      <c r="CE14" s="1872"/>
      <c r="CF14" s="1871"/>
      <c r="CG14" s="1872"/>
      <c r="CH14" s="1872"/>
      <c r="CI14" s="1872"/>
      <c r="CJ14" s="1871"/>
      <c r="CK14" s="1872"/>
      <c r="CL14" s="1872"/>
      <c r="CM14" s="1872"/>
      <c r="CN14" s="1872"/>
      <c r="CO14" s="401"/>
      <c r="CP14" s="401"/>
      <c r="CQ14" s="401"/>
      <c r="CR14" s="401"/>
    </row>
    <row r="15" spans="1:96" s="411" customFormat="1" ht="21.6" customHeight="1" x14ac:dyDescent="0.25">
      <c r="A15" s="352"/>
      <c r="B15" s="407">
        <v>15</v>
      </c>
      <c r="C15" s="1946" t="s">
        <v>1269</v>
      </c>
      <c r="D15" s="1946"/>
      <c r="E15" s="1946"/>
      <c r="F15" s="1946"/>
      <c r="G15" s="1946"/>
      <c r="H15" s="1946"/>
      <c r="I15" s="1946"/>
      <c r="J15" s="1946"/>
      <c r="K15" s="1946"/>
      <c r="L15" s="1946"/>
      <c r="M15" s="1946"/>
      <c r="N15" s="1946"/>
      <c r="O15" s="1946"/>
      <c r="P15" s="1946"/>
      <c r="Q15" s="1946"/>
      <c r="R15" s="1946"/>
      <c r="S15" s="1946"/>
      <c r="T15" s="1946"/>
      <c r="U15" s="1946"/>
      <c r="V15" s="1946"/>
      <c r="W15" s="1946"/>
      <c r="X15" s="1946"/>
      <c r="Y15" s="392"/>
      <c r="Z15" s="408"/>
      <c r="AA15" s="408"/>
      <c r="AB15" s="408"/>
      <c r="AC15" s="408"/>
      <c r="AD15" s="408"/>
      <c r="AE15" s="392"/>
      <c r="AF15" s="392"/>
      <c r="AG15" s="392"/>
      <c r="AH15" s="350"/>
      <c r="AI15" s="362"/>
      <c r="AJ15" s="362"/>
      <c r="AK15" s="362"/>
      <c r="AL15" s="360"/>
      <c r="AM15" s="338" t="s">
        <v>610</v>
      </c>
      <c r="AN15" s="361"/>
      <c r="AO15" s="409"/>
      <c r="AP15" s="410"/>
      <c r="AQ15" s="410"/>
      <c r="AR15" s="410"/>
      <c r="AS15" s="410"/>
      <c r="AT15" s="410"/>
      <c r="AU15" s="410"/>
      <c r="AV15" s="410"/>
      <c r="AW15" s="410"/>
      <c r="AX15" s="410"/>
      <c r="AY15" s="410"/>
      <c r="AZ15" s="410"/>
      <c r="BA15" s="410"/>
      <c r="BB15" s="410"/>
      <c r="BC15" s="410"/>
      <c r="BD15" s="410"/>
      <c r="BE15" s="410"/>
      <c r="BF15" s="410"/>
      <c r="BG15" s="410"/>
      <c r="BH15" s="410"/>
      <c r="BI15" s="410"/>
      <c r="BJ15" s="410"/>
      <c r="BK15" s="410"/>
      <c r="BL15" s="410"/>
      <c r="BM15" s="410"/>
      <c r="BN15" s="410"/>
      <c r="BO15" s="410"/>
      <c r="BP15" s="410"/>
      <c r="BQ15" s="410"/>
      <c r="BR15" s="410"/>
      <c r="BS15" s="410"/>
      <c r="BT15" s="410"/>
      <c r="BU15" s="410"/>
      <c r="BV15" s="410"/>
      <c r="BW15" s="410"/>
      <c r="BX15" s="410"/>
      <c r="BY15" s="410"/>
      <c r="BZ15" s="410"/>
      <c r="CA15" s="410"/>
      <c r="CB15" s="410"/>
      <c r="CC15" s="410"/>
      <c r="CD15" s="410"/>
      <c r="CE15" s="410"/>
      <c r="CF15" s="410"/>
      <c r="CG15" s="410"/>
      <c r="CH15" s="410"/>
      <c r="CI15" s="410"/>
      <c r="CJ15" s="410"/>
      <c r="CK15" s="410"/>
      <c r="CL15" s="410"/>
      <c r="CM15" s="410"/>
      <c r="CN15" s="410"/>
      <c r="CO15" s="401"/>
      <c r="CP15" s="401"/>
      <c r="CQ15" s="401"/>
      <c r="CR15" s="401"/>
    </row>
    <row r="16" spans="1:96" ht="18.75" customHeight="1" x14ac:dyDescent="0.25">
      <c r="B16" s="368">
        <v>15.1</v>
      </c>
      <c r="C16" s="1951" t="s">
        <v>1090</v>
      </c>
      <c r="D16" s="1951"/>
      <c r="E16" s="1951"/>
      <c r="F16" s="1951"/>
      <c r="G16" s="1951"/>
      <c r="H16" s="1951"/>
      <c r="I16" s="1951"/>
      <c r="J16" s="1951"/>
      <c r="K16" s="1951"/>
      <c r="L16" s="1951"/>
      <c r="M16" s="1951"/>
      <c r="N16" s="1951"/>
      <c r="O16" s="1951"/>
      <c r="P16" s="1951"/>
      <c r="Q16" s="1951"/>
      <c r="R16" s="1951"/>
      <c r="S16" s="1951"/>
      <c r="T16" s="1951"/>
      <c r="U16" s="1951"/>
      <c r="V16" s="1951"/>
      <c r="W16" s="1951"/>
      <c r="X16" s="1951"/>
      <c r="Y16" s="392"/>
      <c r="Z16" s="408"/>
      <c r="AA16" s="408"/>
      <c r="AB16" s="408"/>
      <c r="AC16" s="408"/>
      <c r="AD16" s="408"/>
      <c r="AE16" s="392"/>
      <c r="AF16" s="392"/>
      <c r="AG16" s="392"/>
      <c r="AH16" s="380"/>
      <c r="AI16" s="380"/>
      <c r="AJ16" s="380"/>
      <c r="AK16" s="380"/>
      <c r="AL16" s="360">
        <f>LEN(B16)-LEN(SUBSTITUTE(B16,IF(ISNUMBER(FIND(".",B16)),".",","),""))</f>
        <v>1</v>
      </c>
      <c r="AM16" s="380"/>
      <c r="AN16" s="380"/>
      <c r="AO16" s="409"/>
      <c r="AP16" s="412"/>
      <c r="AQ16" s="1882" t="s">
        <v>1227</v>
      </c>
      <c r="AR16" s="1883"/>
      <c r="AS16" s="1883"/>
      <c r="AT16" s="1883"/>
      <c r="AU16" s="1883"/>
      <c r="AV16" s="1884"/>
      <c r="AW16" s="1885" t="s">
        <v>1228</v>
      </c>
      <c r="AX16" s="1886"/>
      <c r="AY16" s="1885" t="s">
        <v>1229</v>
      </c>
      <c r="AZ16" s="1886"/>
      <c r="BA16" s="413" t="s">
        <v>1230</v>
      </c>
      <c r="BB16" s="414" t="s">
        <v>346</v>
      </c>
      <c r="BC16" s="413" t="s">
        <v>1231</v>
      </c>
      <c r="BD16" s="414" t="s">
        <v>348</v>
      </c>
      <c r="BE16" s="414" t="s">
        <v>351</v>
      </c>
      <c r="BF16" s="413" t="s">
        <v>771</v>
      </c>
      <c r="BG16" s="413" t="s">
        <v>1232</v>
      </c>
      <c r="BH16" s="413" t="s">
        <v>1233</v>
      </c>
      <c r="BI16" s="413" t="s">
        <v>1234</v>
      </c>
      <c r="BJ16" s="414" t="s">
        <v>1235</v>
      </c>
      <c r="BK16" s="414" t="s">
        <v>1236</v>
      </c>
      <c r="BL16" s="414" t="s">
        <v>1237</v>
      </c>
      <c r="BM16" s="413" t="s">
        <v>1238</v>
      </c>
      <c r="BN16" s="413" t="s">
        <v>1239</v>
      </c>
      <c r="BO16" s="413" t="s">
        <v>1240</v>
      </c>
      <c r="BP16" s="413" t="s">
        <v>1241</v>
      </c>
      <c r="BQ16" s="414" t="s">
        <v>1242</v>
      </c>
      <c r="BR16" s="414" t="s">
        <v>1243</v>
      </c>
      <c r="BS16" s="1879" t="s">
        <v>1244</v>
      </c>
      <c r="BT16" s="1880"/>
      <c r="BU16" s="1881"/>
      <c r="BV16" s="1879" t="s">
        <v>1245</v>
      </c>
      <c r="BW16" s="1880"/>
      <c r="BX16" s="1881"/>
      <c r="BY16" s="1887" t="s">
        <v>1246</v>
      </c>
      <c r="BZ16" s="1888"/>
      <c r="CA16" s="1888"/>
      <c r="CB16" s="1889"/>
      <c r="CC16" s="1887" t="s">
        <v>1247</v>
      </c>
      <c r="CD16" s="1888"/>
      <c r="CE16" s="1888"/>
      <c r="CF16" s="1889"/>
      <c r="CG16" s="1887" t="s">
        <v>1248</v>
      </c>
      <c r="CH16" s="1888"/>
      <c r="CI16" s="1888"/>
      <c r="CJ16" s="1889"/>
      <c r="CK16" s="1879" t="s">
        <v>1249</v>
      </c>
      <c r="CL16" s="1880"/>
      <c r="CM16" s="1881"/>
      <c r="CN16" s="415"/>
      <c r="CO16" s="416"/>
      <c r="CP16" s="416"/>
      <c r="CQ16" s="416"/>
      <c r="CR16" s="416"/>
    </row>
    <row r="17" spans="1:96" s="408" customFormat="1" ht="25.5" customHeight="1" x14ac:dyDescent="0.25">
      <c r="A17" s="372">
        <f>+IF(OR(AL17=0,AL17=1),0,COUNTIF(AL$16:AL17,AL17))</f>
        <v>1</v>
      </c>
      <c r="B17" s="532" t="s">
        <v>1270</v>
      </c>
      <c r="C17" s="417" t="str">
        <f>+VLOOKUP(A17,'CÁLCULO CONDUCTORES DE MT'!$B$17:$BR$264,3,FALSE)</f>
        <v>SDT-8</v>
      </c>
      <c r="D17" s="418" t="str">
        <f>+VLOOKUP(C17,'CÁLCULO CONDUCTORES DE MT'!$D$2:$CF$263,2,FALSE)</f>
        <v>TRANSFORMADOR DE DISTRIBUCIÓN</v>
      </c>
      <c r="E17" s="419">
        <f>+VLOOKUP(C17,'CÁLCULO CONDUCTORES DE MT'!$D$2:$CF$263,5,FALSE)</f>
        <v>225</v>
      </c>
      <c r="F17" s="420" t="str">
        <f>+VLOOKUP(C17,'CÁLCULO CONDUCTORES DE MT'!$D$2:$CF$263,6,FALSE)</f>
        <v>kVA</v>
      </c>
      <c r="G17" s="421">
        <f>+VLOOKUP(C17,'CÁLCULO CONDUCTORES DE MT'!$D$2:$CF$263,7,FALSE)</f>
        <v>34500</v>
      </c>
      <c r="H17" s="422">
        <f>+VLOOKUP(C17,'CÁLCULO CONDUCTORES DE MT'!$D$2:$CF$263,8,FALSE)</f>
        <v>3</v>
      </c>
      <c r="I17" s="423">
        <f>+VLOOKUP(C17,'CÁLCULO CONDUCTORES DE MT'!$D$2:$CF$263,9,FALSE)</f>
        <v>0.80830156595608427</v>
      </c>
      <c r="J17" s="424">
        <f>+VLOOKUP(C17,'CÁLCULO CONDUCTORES DE MT'!$D$2:$CF$263,12,FALSE)</f>
        <v>4.7125394554414752</v>
      </c>
      <c r="K17" s="425">
        <f>+VLOOKUP(C17,'CÁLCULO CONDUCTORES DE MT'!$D$2:$CF$263,10,FALSE)</f>
        <v>0.98</v>
      </c>
      <c r="L17" s="342">
        <f>+VLOOKUP(C17,'CÁLCULO CONDUCTORES DE MT'!$D$2:$CF$263,4,FALSE)</f>
        <v>4</v>
      </c>
      <c r="M17" s="426">
        <f>+AH17</f>
        <v>1</v>
      </c>
      <c r="N17" s="427" t="str">
        <f>+VLOOKUP(C17,'CÁLCULO CONDUCTORES DE MT'!$D$2:$CF$263,31,FALSE)</f>
        <v>1/0 AWG</v>
      </c>
      <c r="O17" s="428" t="e">
        <f>IF(VLOOKUP(C17,'CÁLCULO CONDUCTORES DE MT'!$D$19:$AG$299,21,FALSE)="AÉREO","Al","Cu")</f>
        <v>#N/A</v>
      </c>
      <c r="P17" s="429"/>
      <c r="Q17" s="430" t="e">
        <f>IF(O17="Al","N/A",CK17)</f>
        <v>#N/A</v>
      </c>
      <c r="R17" s="430" t="e">
        <f>IF(O17="Al","N/A",CL17)</f>
        <v>#N/A</v>
      </c>
      <c r="S17" s="430" t="e">
        <f>IF(O17="Al","N/A",CM17)</f>
        <v>#N/A</v>
      </c>
      <c r="T17" s="431" t="e">
        <f>IF(O17="Al","N/A",AH17)</f>
        <v>#N/A</v>
      </c>
      <c r="U17" s="430" t="e">
        <f>IF(O17="Al","N/A",AW17)</f>
        <v>#N/A</v>
      </c>
      <c r="V17" s="431" t="e">
        <f>IF(O17="Al","N/A",AH17)</f>
        <v>#N/A</v>
      </c>
      <c r="W17" s="430" t="e">
        <f>IF(O17="Al","N/A",AY17)</f>
        <v>#N/A</v>
      </c>
      <c r="X17" s="432" t="e">
        <f>IF(O17="Al","N/A",IF(MIN(Q17:S17)=S17,"OPCIÓN TÉCNICA",IF(MIN(Q17:S17)=R17,"OPCIÓN 2","OPCIÓN 1")))</f>
        <v>#N/A</v>
      </c>
      <c r="Y17" s="392"/>
      <c r="AE17" s="392"/>
      <c r="AF17" s="392"/>
      <c r="AG17" s="392"/>
      <c r="AH17" s="343">
        <f>+VLOOKUP(C17,'CÁLCULO CONDUCTORES DE MT'!$D$2:$BE$263,32,FALSE)</f>
        <v>1</v>
      </c>
      <c r="AI17" s="343" t="str">
        <f>+VLOOKUP(C17,'CÁLCULO CONDUCTORES DE MT'!$D$2:$BE$263,31,FALSE)</f>
        <v>1/0 AWG</v>
      </c>
      <c r="AJ17" s="343">
        <f>+AH17</f>
        <v>1</v>
      </c>
      <c r="AK17" s="343" t="str">
        <f>IF((VLOOKUP(C17,'CÁLCULO CONDUCTORES DE MT'!$D$2:$BE$263,47,FALSE))="No",LOOKUP((IF(VLOOKUP(C17,'CÁLCULO CONDUCTORES DE MT'!$D$2:$BE$263,15,FALSE)="VER NOTAS",15,VLOOKUP(C17,'CÁLCULO CONDUCTORES DE MT'!$D$2:$BE$263,15,FALSE))),CONDUCTORES!$A$111:$A$131,IF(VLOOKUP(C17,'CÁLCULO CONDUCTORES DE MT'!$D$2:$BE$263,35,FALSE)="Cu",CONDUCTORES!$B$111:$B$131,CONDUCTORES!$C$111:$C$131)),VLOOKUP(C17,'CÁLCULO CONDUCTORES DE MT'!$D$2:$BE$263,47,FALSE))</f>
        <v>10 AWG</v>
      </c>
      <c r="AL17" s="340">
        <f>LEN(B17)-LEN(SUBSTITUTE(B17,IF(ISNUMBER(FIND(".",B17)),".",","),""))</f>
        <v>2</v>
      </c>
      <c r="AM17" s="341" t="str">
        <f>+VLOOKUP(C17,'CÁLCULO CONDUCTORES DE MT'!$D$2:$CF$263,33,FALSE)</f>
        <v>Desnudo</v>
      </c>
      <c r="AN17" s="531">
        <f>IF(AM17="Monopolar","N/A",)</f>
        <v>0</v>
      </c>
      <c r="AO17" s="433">
        <f>+VLOOKUP(C17,'CÁLCULO CONDUCTORES DE MT'!$D$2:$CF$263,58,FALSE)</f>
        <v>16</v>
      </c>
      <c r="AP17" s="434">
        <f>(IF(AM17="Cable Armado",VLOOKUP(AO17,'CONDCUTORES MT'!$A$83:$F$86,5,TRUE),IF(AND(G17&gt;=1000,G17&lt;=4160),VLOOKUP(AO17,'CONDCUTORES MT'!$A$20:$E$28,5,TRUE),IF(AND(G17&gt;=4161,G17&lt;=13800),VLOOKUP(AO17,'CONDCUTORES MT'!$A$33:$E$41,5,TRUE),VLOOKUP(AO17,'CONDCUTORES MT'!$A$46:$E$54,5,TRUE)))))*(AH17)</f>
        <v>2669.481963589953</v>
      </c>
      <c r="AQ17" s="435">
        <f>+(1000*((J17^2*BB17*$AJ$4*BD17*(1+$BL$4*($BJ$4-20)))/BE17)^0.5)</f>
        <v>0.21240066395937351</v>
      </c>
      <c r="AR17" s="434" t="e">
        <f>+IF(T17=1,"N/A",IF((AQ17/T17)&lt;CONDUCTORES!$F$9,CONDUCTORES!$F$9,IF((AQ17/T17)&lt;CONDUCTORES!$F$10,CONDUCTORES!$F$10,IF((AQ17/T17)&lt;CONDUCTORES!$F$11,CONDUCTORES!$F$11,IF((AQ17/T17)&lt;CONDUCTORES!$F$12,CONDUCTORES!$F$12,IF((AQ17/T17)&lt;CONDUCTORES!$F$13,CONDUCTORES!$F$13,IF((AQ17/T17)&lt;CONDUCTORES!$F$14,CONDUCTORES!$F$14,IF((AQ17/T17)&lt;CONDUCTORES!$F$15,CONDUCTORES!$F$15,IF((AQ17/T17)&lt;CONDUCTORES!$F$16,CONDUCTORES!$F$16,IF((AQ17/T17)&lt;CONDUCTORES!$F$17,CONDUCTORES!$F$17,IF((AQ17/T17)&lt;CONDUCTORES!$F$18,CONDUCTORES!$F$18,IF((AQ17/T17)&lt;CONDUCTORES!$F$19,CONDUCTORES!$F$19,IF((AQ17/T17)&lt;CONDUCTORES!$F$20,CONDUCTORES!$F$20,IF((AQ17/T17)&lt;CONDUCTORES!$F$21,CONDUCTORES!$F$21,IF((AQ17/T17)&lt;CONDUCTORES!$F$22,CONDUCTORES!$F$22,CONDUCTORES!$F$23)))))))))))))))</f>
        <v>#N/A</v>
      </c>
      <c r="AS17" s="1924" t="s">
        <v>1271</v>
      </c>
      <c r="AT17" s="1925"/>
      <c r="AU17" s="1926"/>
      <c r="AV17" s="436">
        <f>IF(AM17="Cable Armado",IF(AQ17&lt;'CONDCUTORES MT'!$E$83,'CONDCUTORES MT'!$E$83,IF(AQ17&lt;'CONDCUTORES MT'!$E$84,'CONDCUTORES MT'!$E$84,IF(AQ17&lt;'CONDCUTORES MT'!$E$85,'CONDCUTORES MT'!$E$85,'CONDCUTORES MT'!$E$86))),IF(AND(G17&gt;=1000,G17&lt;=4160),IF(AQ17&lt;'CONDCUTORES MT'!$E$20,'CONDCUTORES MT'!$E$20,IF(AQ17&lt;'CONDCUTORES MT'!$E$21,'CONDCUTORES MT'!$E$21,IF(AQ17&lt;'CONDCUTORES MT'!$E$22,'CONDCUTORES MT'!$E$22,IF(AQ17&lt;'CONDCUTORES MT'!$E$23,'CONDCUTORES MT'!$E$23,IF(AQ17&lt;'CONDCUTORES MT'!$E$24,'CONDCUTORES MT'!$E$24,IF(AQ17&lt;'CONDCUTORES MT'!$E$25,'CONDCUTORES MT'!$E$25,IF(AQ17&lt;'CONDCUTORES MT'!$E$26,'CONDCUTORES MT'!$E$26,IF(AQ17&lt;'CONDCUTORES MT'!$E$27,'CONDCUTORES MT'!$E$27,'CONDCUTORES MT'!$E$28)))))))),IF(AND(G17&gt;=4161,G17&lt;=13800),IF(AQ17&lt;'CONDCUTORES MT'!$E$33,'CONDCUTORES MT'!$E$33,IF(AQ17&lt;'CONDCUTORES MT'!$E$34,'CONDCUTORES MT'!$E$34,IF(AQ17&lt;'CONDCUTORES MT'!$E$35,'CONDCUTORES MT'!$E$35,IF(AQ17&lt;'CONDCUTORES MT'!$E$36,'CONDCUTORES MT'!$E$36,IF(AQ17&lt;'CONDCUTORES MT'!$E$37,'CONDCUTORES MT'!$E$37,IF(AQ17&lt;'CONDCUTORES MT'!$E$38,'CONDCUTORES MT'!$E$38,IF(AQ17&lt;'CONDCUTORES MT'!$E$39,'CONDCUTORES MT'!$E$39,IF(AQ17&lt;'CONDCUTORES MT'!$E$40,'CONDCUTORES MT'!$E$40,'CONDCUTORES MT'!$E$41)))))))),IF(AQ17&lt;'CONDCUTORES MT'!$E$46,'CONDCUTORES MT'!$E$46,IF(AQ17&lt;'CONDCUTORES MT'!$E$47,'CONDCUTORES MT'!$E$47,IF(AQ17&lt;'CONDCUTORES MT'!$E$48,'CONDCUTORES MT'!$E$48,IF(AQ17&lt;'CONDCUTORES MT'!$E$49,'CONDCUTORES MT'!$E$49,IF(AQ17&lt;'CONDCUTORES MT'!$E$50,'CONDCUTORES MT'!$E$50,IF(AQ17&lt;'CONDCUTORES MT'!$E$51,'CONDCUTORES MT'!$E$51,IF(AQ17&lt;'CONDCUTORES MT'!$E$52,'CONDCUTORES MT'!$E$52,IF(AQ17&lt;'CONDCUTORES MT'!$E$53,'CONDCUTORES MT'!$E$53,'CONDCUTORES MT'!$E$54)))))))))))</f>
        <v>1116.2785556551594</v>
      </c>
      <c r="AW17" s="437" t="str">
        <f>IF(AM17="Cable Armado",IF(AV17&lt;637.42,"1 AWG",VLOOKUP(AV17,'CONDCUTORES MT'!$E$83:$Y$86,15,FALSE)),IF(AND(G17&gt;=1000,G17&lt;=4160),IF(AV17&lt;390.57,"1/0 AWG",VLOOKUP(AV17,'CONDCUTORES MT'!$E$20:$Y$28,15,FALSE)),IF(AND(G17&gt;=4161,G17&lt;=13800),IF(AV17&lt;593.95,"1/0 AWG",VLOOKUP(AV17,'CONDCUTORES MT'!$E$33:$Y$41,15,FALSE)),IF(AV17&lt;1116.28,"1/0 AWG",VLOOKUP(AV17,'CONDCUTORES MT'!$E$46:$Y$54,15,FALSE)))))</f>
        <v>1/0 AWG</v>
      </c>
      <c r="AX17" s="437">
        <f>IF(AM17="Cable Armado",VLOOKUP(AW17,'CONDCUTORES MT'!$B$83:$Q$86,16,FALSE),VLOOKUP(AW17,'CONDCUTORES MT'!$S$20:$V$28,4,FALSE))</f>
        <v>7</v>
      </c>
      <c r="AY17" s="437" t="str">
        <f>IF(AM17="Cable Armado",VLOOKUP(AX17,'CONDCUTORES MT'!$A$83:$AA$86,26,TRUE),IF(AND(H17&gt;=1000,H17&lt;=4160),VLOOKUP(AW17,'CONDCUTORES MT'!$B$20:$AA$28,25,TRUE),IF(AND(H17&gt;=4161,H17&lt;=13800),VLOOKUP(AW17,'CONDCUTORES MT'!$B$33:$AA$41,25,TRUE),VLOOKUP(AW17,'CONDCUTORES MT'!$B$46:$AA$54,25,TRUE))))</f>
        <v>2/0 AWG</v>
      </c>
      <c r="AZ17" s="437">
        <f>IF(AM17="Cable Armado",VLOOKUP(AY17,'CONDCUTORES MT'!$B$83:$Q$86,16,FALSE),VLOOKUP(AY17,'CONDCUTORES MT'!$S$20:$V$28,4,FALSE))</f>
        <v>8</v>
      </c>
      <c r="BA17" s="438">
        <f>+J17</f>
        <v>4.7125394554414752</v>
      </c>
      <c r="BB17" s="502">
        <f>($H17*$BA$4*($AX$4*$BC$5+$AO$4)*($AQ$4/(1+($AV$4/1))))</f>
        <v>22691.960428119746</v>
      </c>
      <c r="BC17" s="439">
        <f>+$AM$4</f>
        <v>1.8349999999999999E-8</v>
      </c>
      <c r="BD17" s="437">
        <f>+(1+BM17+BN17)*(1+BO17+BP17)</f>
        <v>1.8869701768331564E-2</v>
      </c>
      <c r="BE17" s="440">
        <f>IF(AM17="Cable Armado",VLOOKUP(N17,COSTOS!$B$106:$I$109,6,FALSE),VLOOKUP(N17,COSTOS!$B$7:$G$21,6,FALSE))</f>
        <v>437.06881903143585</v>
      </c>
      <c r="BF17" s="437">
        <f>((2.5)/(18*(LN((IF(AM17="Cable Armado",VLOOKUP(N17,'CONDCUTORES MT'!$B$83:$X$86,23,FALSE),VLOOKUP(N17,CONDUCTORES!$B$9:$AF$23,24,FALSE)))/(IF(AM17="Cable Armado",VLOOKUP(N17,'CONDCUTORES MT'!$B$83:$X$86,3,FALSE),VLOOKUP(N17,CONDUCTORES!$B$9:$D$23,3,FALSE)))))))*0.000000001</f>
        <v>-6.1300858987958999E-11</v>
      </c>
      <c r="BG17" s="437">
        <f>+(2*PI()*60)*(BF17)*(G17^2)*(0.001)</f>
        <v>-2.7506533944706757E-2</v>
      </c>
      <c r="BH17" s="437">
        <f>(0.12)*(5000)*(LN((IF(AM17="Cable Armado",VLOOKUP(N17,'CONDCUTORES MT'!$B$83:$X$86,23,FALSE),VLOOKUP(N17,CONDUCTORES!$B$9:$AF$23,24,FALSE)))/(IF(AM17="Cable Armado",VLOOKUP(N17,'CONDCUTORES MT'!$B$83:$X$86,3,FALSE),VLOOKUP(N17,CONDUCTORES!$B$9:$D$23,3,FALSE)))))</f>
        <v>-1359.4154259682082</v>
      </c>
      <c r="BI17" s="437">
        <f>+($BE$3)-(((J17^2)*(IF(AM17="Cable Armado",VLOOKUP(N17,'CONDCUTORES MT'!$B$83:$I$86,5,FALSE),VLOOKUP(N17,CONDUCTORES!$B$9:$K$23,7,FALSE))))+(0.5*BG17))*(BH17)</f>
        <v>12532.972260064167</v>
      </c>
      <c r="BJ17" s="441">
        <f>1+$BL$4*(BI17-20)</f>
        <v>49.800591814250247</v>
      </c>
      <c r="BK17" s="437">
        <f>+SQRT(((8*PI()*60)/(IF(AM17="Cable Armado",VLOOKUP(N17,'CONDCUTORES MT'!$B$83:$I$86,5,FALSE),VLOOKUP(N17,CONDUCTORES!$B$9:$K$23,7,FALSE))))*(0.0000001)*(1))</f>
        <v>1.9113426522173863E-2</v>
      </c>
      <c r="BL17" s="437">
        <f>+SQRT(((8*PI()*60)/(IF(AM17="Cable Armado",VLOOKUP(N17,'CONDCUTORES MT'!$B$83:$I$86,5,FALSE),VLOOKUP(N17,CONDUCTORES!$B$9:$K$23,7,FALSE))))*(0.0000001)*(1))</f>
        <v>1.9113426522173863E-2</v>
      </c>
      <c r="BM17" s="442">
        <f>((BL17^4)/((192)+((0.8)*(BL17^4))))*(((IF(AM17="Cable Armado",VLOOKUP(N17,'CONDCUTORES MT'!$B$83:$I$86,5,FALSE),VLOOKUP(N17,CONDUCTORES!$B$9:$K$23,7,FALSE)))/(1))^2)*(2.9)</f>
        <v>3.4346223296691449E-10</v>
      </c>
      <c r="BN17" s="442">
        <f>+(BK17^4)/((192)+((0.8)*(BK17^4)))</f>
        <v>6.9510910363412219E-10</v>
      </c>
      <c r="BO17" s="437">
        <f>+((BJ17)/(-BH17))*(1/(1+((BJ17)/(52.9))))</f>
        <v>1.8869701748733956E-2</v>
      </c>
      <c r="BP17" s="437">
        <v>-1</v>
      </c>
      <c r="BQ17" s="434">
        <f>IF(AM17="Cable Armado",VLOOKUP(AX17,'CONDCUTORES MT'!$A$83:$E$86,5,FALSE),IF(AND(G17&gt;=1000,G17&lt;=4160),VLOOKUP(AX17,'CONDCUTORES MT'!$A$20:$E$28,5,TRUE),IF(AND(G17&gt;=4161,G17&lt;=13800),VLOOKUP(AX17,'CONDCUTORES MT'!$A$33:$E$41,5,TRUE),VLOOKUP(AX17,'CONDCUTORES MT'!$A$46:$E$54,5,TRUE))))</f>
        <v>1116.2785556551594</v>
      </c>
      <c r="BR17" s="434">
        <f>IF(AM17="Cable Armado",VLOOKUP(AZ17,'CONDCUTORES MT'!$A$83:$E$86,5,FALSE),IF(AND(G17&gt;=1000,G17&lt;=4160),VLOOKUP(AZ17,'CONDCUTORES MT'!$A$20:$E$28,5,TRUE),IF(AND(G17&gt;=4161,G17&lt;=13800),VLOOKUP(AZ17,'CONDCUTORES MT'!$A$33:$E$41,5,TRUE),VLOOKUP(AZ17,'CONDCUTORES MT'!$A$46:$E$54,5,TRUE))))</f>
        <v>1176.2829753387246</v>
      </c>
      <c r="BS17" s="443">
        <f>+(BC17*BD17*(1+$BL$4*($BJ$4-20))/(BQ17))*10^6</f>
        <v>3.5051528942755301E-7</v>
      </c>
      <c r="BT17" s="443">
        <f>+(BC17*BD17*(1+$BL$4*($BJ$4-20))/(BR17))*10^6</f>
        <v>3.3263484146284397E-7</v>
      </c>
      <c r="BU17" s="443">
        <f>+(BC17*BD17*(1+$BL$4*($BJ$4-20))/(AP17))*10^6</f>
        <v>1.4657252094374543E-7</v>
      </c>
      <c r="BV17" s="444">
        <f>(L17)*((J17)^2)*(BS17)*(BB17)</f>
        <v>0.7065598808040372</v>
      </c>
      <c r="BW17" s="444">
        <f>(L17)*((J17)^2)*(BT17)*(BB17)</f>
        <v>0.67051692472271962</v>
      </c>
      <c r="BX17" s="444">
        <f>(L17)*((J17)^2)*(BU17)*(BB17)</f>
        <v>0.2954571913148028</v>
      </c>
      <c r="BY17" s="444">
        <f>IF(AND(G17&gt;=1000,G17&lt;=4160),VLOOKUP(AX17,IF(AM17="Cable Armado",COSTOS!$A$106:$G$109,COSTOS!$A$67:$I$75),4,FALSE),IF(AND(G17&gt;=4161,G17&lt;=13800),VLOOKUP(AX17,IF(AM17="Cable Armado",COSTOS!$A$106:$G$109,COSTOS!$A$80:$I$88),4,FALSE),VLOOKUP(AX17,IF(AM17="Cable Armado",COSTOS!$A$106:$G$109,COSTOS!$A$93:$I$101),4,FALSE)))</f>
        <v>57676</v>
      </c>
      <c r="BZ17" s="444">
        <f>IF(AND(G17&gt;=1000,G17&lt;=4160),VLOOKUP(AX17,IF(AM17="Cable Armado",COSTOS!$A$106:$G$109,COSTOS!$A$67:$I$75),5,FALSE),IF(AND(G17&gt;=4161,G17&lt;=13800),VLOOKUP(AX17,IF(AM17="Cable Armado",COSTOS!$A$106:$G$109,COSTOS!$A$80:$I$88),5,FALSE),VLOOKUP(AX17,IF(AM17="Cable Armado",COSTOS!$A$106:$G$109,COSTOS!$A$93:$I$101),5,FALSE)))</f>
        <v>21189</v>
      </c>
      <c r="CA17" s="444">
        <f>+BY17+BZ17</f>
        <v>78865</v>
      </c>
      <c r="CB17" s="444" t="e">
        <f>+CA17*L17*(IF(AM17="Monopolar",T17*H17,T17*AH17))</f>
        <v>#N/A</v>
      </c>
      <c r="CC17" s="444">
        <f>IF(AND(G17&gt;=1000,G17&lt;=4160),VLOOKUP(AZ17,IF(AM17="Cable Armado",COSTOS!$A$106:$G$109,COSTOS!$A$67:$I$75),4,FALSE),IF(AND(G17&gt;=4161,G17&lt;=13800),VLOOKUP(AZ17,IF(AM17="Cable Armado",COSTOS!$A$106:$G$109,COSTOS!$A$80:$I$88),4,FALSE),VLOOKUP(AZ17,IF(AM17="Cable Armado",COSTOS!$A$106:$G$109,COSTOS!$A$93:$I$101),4,FALSE)))</f>
        <v>65126</v>
      </c>
      <c r="CD17" s="444">
        <f>IF(AND(G17&gt;=1000,G17&lt;=4160),VLOOKUP(AZ17,IF(AM17="Cable Armado",COSTOS!$A$106:$G$109,COSTOS!$A$67:$I$75),5,FALSE),IF(AND(G17&gt;=4161,G17&lt;=13800),VLOOKUP(AZ17,IF(AM17="Cable Armado",COSTOS!$A$106:$G$109,COSTOS!$A$80:$I$88),5,FALSE),VLOOKUP(AZ17,IF(AM17="Cable Armado",COSTOS!$A$106:$G$109,COSTOS!$A$93:$I$101),5,FALSE)))</f>
        <v>21189</v>
      </c>
      <c r="CE17" s="444">
        <f>+CC17+CD17</f>
        <v>86315</v>
      </c>
      <c r="CF17" s="444" t="e">
        <f>+CE17*L17*(IF(AM17="Monopolar",T17*H17,T17*AH17))</f>
        <v>#N/A</v>
      </c>
      <c r="CG17" s="444" t="e">
        <f>IF(AND(G17&gt;=1000,G17&lt;=4160),VLOOKUP(AO17,IF(AM17="Cable Armado",COSTOS!$A$106:$G$109,COSTOS!$A$67:$I$75),4,FALSE),IF(AND(G17&gt;=4161,G17&lt;=13800),VLOOKUP(AO17,IF(AM17="Cable Armado",COSTOS!$A$106:$G$109,COSTOS!$A$80:$I$88),4,FALSE),VLOOKUP(AO17,IF(AM17="Cable Armado",COSTOS!$A$106:$G$109,COSTOS!$A$93:$I$101),4,FALSE)))</f>
        <v>#N/A</v>
      </c>
      <c r="CH17" s="444" t="e">
        <f>IF(AND(G17&gt;=1000,G17&lt;=4160),VLOOKUP(AO17,IF(AM17="Cable Armado",COSTOS!$A$106:$G$109,COSTOS!$A$67:$I$75),5,FALSE),IF(AND(G17&gt;=4161,G17&lt;=13800),VLOOKUP(AO17,IF(AM17="Cable Armado",COSTOS!$A$106:$G$109,COSTOS!$A$80:$I$88),5,FALSE),VLOOKUP(AO17,IF(AM17="Cable Armado",COSTOS!$A$106:$G$109,COSTOS!$A$93:$I$101),5,FALSE)))</f>
        <v>#N/A</v>
      </c>
      <c r="CI17" s="444" t="e">
        <f>+CG17+CH17</f>
        <v>#N/A</v>
      </c>
      <c r="CJ17" s="444" t="e">
        <f>+CI17*L17*(IF(AM17="Monopolar",M17*H17,M17*AH17))</f>
        <v>#N/A</v>
      </c>
      <c r="CK17" s="444" t="e">
        <f>(CB17)+(BV17)</f>
        <v>#N/A</v>
      </c>
      <c r="CL17" s="444" t="e">
        <f>(CF17)+(BW17)</f>
        <v>#N/A</v>
      </c>
      <c r="CM17" s="444" t="e">
        <f>(CJ17)+(BX17)</f>
        <v>#N/A</v>
      </c>
      <c r="CN17" s="445" t="e">
        <f>IF(VLOOKUP(C17,'CÁLCULO CONDUCTORES DE MT'!$D$19:$AG$299,21,FALSE)="AÉREO","SI","NO")</f>
        <v>#N/A</v>
      </c>
      <c r="CO17" s="446"/>
      <c r="CP17" s="446"/>
      <c r="CQ17" s="446"/>
      <c r="CR17" s="446"/>
    </row>
    <row r="18" spans="1:96" s="408" customFormat="1" ht="25.5" hidden="1" customHeight="1" x14ac:dyDescent="0.25">
      <c r="A18" s="372">
        <f>+IF(OR(AL18=0,AL18=1),0,COUNTIF(AL$16:AL18,AL18))</f>
        <v>2</v>
      </c>
      <c r="B18" s="532" t="s">
        <v>1272</v>
      </c>
      <c r="C18" s="417" t="e">
        <f>+VLOOKUP(A18,'CÁLCULO CONDUCTORES DE MT'!$B$17:$BR$264,3,FALSE)</f>
        <v>#N/A</v>
      </c>
      <c r="D18" s="418" t="e">
        <f>+VLOOKUP(C18,'CÁLCULO CONDUCTORES DE MT'!$D$2:$CF$263,2,FALSE)</f>
        <v>#N/A</v>
      </c>
      <c r="E18" s="419" t="e">
        <f>+VLOOKUP(C18,'CÁLCULO CONDUCTORES DE MT'!$D$2:$CF$263,5,FALSE)</f>
        <v>#N/A</v>
      </c>
      <c r="F18" s="420" t="e">
        <f>+VLOOKUP(C18,'CÁLCULO CONDUCTORES DE MT'!$D$2:$CF$263,6,FALSE)</f>
        <v>#N/A</v>
      </c>
      <c r="G18" s="421" t="e">
        <f>+VLOOKUP(C18,'CÁLCULO CONDUCTORES DE MT'!$D$2:$CF$263,7,FALSE)</f>
        <v>#N/A</v>
      </c>
      <c r="H18" s="422" t="e">
        <f>+VLOOKUP(C18,'CÁLCULO CONDUCTORES DE MT'!$D$2:$CF$263,8,FALSE)</f>
        <v>#N/A</v>
      </c>
      <c r="I18" s="423" t="e">
        <f>+VLOOKUP(C18,'CÁLCULO CONDUCTORES DE MT'!$D$2:$CF$263,9,FALSE)</f>
        <v>#N/A</v>
      </c>
      <c r="J18" s="424" t="e">
        <f>+VLOOKUP(C18,'CÁLCULO CONDUCTORES DE MT'!$D$2:$CF$263,12,FALSE)</f>
        <v>#N/A</v>
      </c>
      <c r="K18" s="425" t="e">
        <f>+VLOOKUP(C18,'CÁLCULO CONDUCTORES DE MT'!$D$2:$CF$263,10,FALSE)</f>
        <v>#N/A</v>
      </c>
      <c r="L18" s="342" t="e">
        <f>+VLOOKUP(C18,'CÁLCULO CONDUCTORES DE MT'!$D$2:$CF$263,4,FALSE)</f>
        <v>#N/A</v>
      </c>
      <c r="M18" s="426" t="e">
        <f>+AH18</f>
        <v>#N/A</v>
      </c>
      <c r="N18" s="427" t="e">
        <f>+VLOOKUP(C18,'CÁLCULO CONDUCTORES DE MT'!$D$2:$CF$263,31,FALSE)</f>
        <v>#N/A</v>
      </c>
      <c r="O18" s="428" t="e">
        <f>IF(VLOOKUP(C18,'CÁLCULO CONDUCTORES DE MT'!$D$19:$AG$299,21,FALSE)="AÉREO","Al","Cu")</f>
        <v>#N/A</v>
      </c>
      <c r="P18" s="429"/>
      <c r="Q18" s="430" t="e">
        <f>IF(O18="Al","N/A",CK18)</f>
        <v>#N/A</v>
      </c>
      <c r="R18" s="430" t="e">
        <f>IF(O18="Al","N/A",CL18)</f>
        <v>#N/A</v>
      </c>
      <c r="S18" s="430" t="e">
        <f>IF(O18="Al","N/A",CM18)</f>
        <v>#N/A</v>
      </c>
      <c r="T18" s="431" t="e">
        <f>IF(O18="Al","N/A",AH18)</f>
        <v>#N/A</v>
      </c>
      <c r="U18" s="430" t="e">
        <f>IF(O18="Al","N/A",AW18)</f>
        <v>#N/A</v>
      </c>
      <c r="V18" s="431" t="e">
        <f>IF(O18="Al","N/A",AH18)</f>
        <v>#N/A</v>
      </c>
      <c r="W18" s="430" t="e">
        <f>IF(O18="Al","N/A",AY18)</f>
        <v>#N/A</v>
      </c>
      <c r="X18" s="432" t="e">
        <f>IF(O18="Al","N/A",IF(MIN(Q18:S18)=S18,"OPCIÓN TÉCNICA",IF(MIN(Q18:S18)=R18,"OPCIÓN 2","OPCIÓN 1")))</f>
        <v>#N/A</v>
      </c>
      <c r="Y18" s="392"/>
      <c r="AE18" s="392"/>
      <c r="AF18" s="392"/>
      <c r="AG18" s="392"/>
      <c r="AH18" s="343" t="e">
        <f>+VLOOKUP(C18,'CÁLCULO CONDUCTORES DE MT'!$D$2:$BE$263,32,FALSE)</f>
        <v>#N/A</v>
      </c>
      <c r="AI18" s="343" t="e">
        <f>+VLOOKUP(C18,'CÁLCULO CONDUCTORES DE MT'!$D$2:$BE$263,31,FALSE)</f>
        <v>#N/A</v>
      </c>
      <c r="AJ18" s="343" t="e">
        <f>+AH18</f>
        <v>#N/A</v>
      </c>
      <c r="AK18" s="343" t="e">
        <f>IF((VLOOKUP(C18,'CÁLCULO CONDUCTORES DE MT'!$D$2:$BE$263,47,FALSE))="No",LOOKUP((IF(VLOOKUP(C18,'CÁLCULO CONDUCTORES DE MT'!$D$2:$BE$263,15,FALSE)="VER NOTAS",15,VLOOKUP(C18,'CÁLCULO CONDUCTORES DE MT'!$D$2:$BE$263,15,FALSE))),CONDUCTORES!$A$111:$A$131,IF(VLOOKUP(C18,'CÁLCULO CONDUCTORES DE MT'!$D$2:$BE$263,35,FALSE)="Cu",CONDUCTORES!$B$111:$B$131,CONDUCTORES!$C$111:$C$131)),VLOOKUP(C18,'CÁLCULO CONDUCTORES DE MT'!$D$2:$BE$263,47,FALSE))</f>
        <v>#N/A</v>
      </c>
      <c r="AL18" s="340">
        <f>LEN(B18)-LEN(SUBSTITUTE(B18,IF(ISNUMBER(FIND(".",B18)),".",","),""))</f>
        <v>2</v>
      </c>
      <c r="AM18" s="341" t="e">
        <f>+VLOOKUP(C18,'CÁLCULO CONDUCTORES DE MT'!$D$2:$CF$263,33,FALSE)</f>
        <v>#N/A</v>
      </c>
      <c r="AN18" s="531" t="e">
        <f>IF(AM18="Monopolar","N/A",)</f>
        <v>#N/A</v>
      </c>
      <c r="AO18" s="433" t="e">
        <f>+VLOOKUP(C18,'CÁLCULO CONDUCTORES DE MT'!$D$2:$CF$263,58,FALSE)</f>
        <v>#N/A</v>
      </c>
      <c r="AP18" s="434" t="e">
        <f>(IF(AM18="Cable Armado",VLOOKUP(AO18,'CONDCUTORES MT'!$A$83:$F$86,5,TRUE),IF(AND(G18&gt;=1000,G18&lt;=4160),VLOOKUP(AO18,'CONDCUTORES MT'!$A$20:$E$28,5,TRUE),IF(AND(G18&gt;=4161,G18&lt;=13800),VLOOKUP(AO18,'CONDCUTORES MT'!$A$33:$E$41,5,TRUE),VLOOKUP(AO18,'CONDCUTORES MT'!$A$46:$E$54,5,TRUE)))))*(AH18)</f>
        <v>#N/A</v>
      </c>
      <c r="AQ18" s="435" t="e">
        <f>+(1000*((J18^2*BB18*$AJ$4*BD18*(1+$BL$4*($BJ$4-20)))/BE18)^0.5)</f>
        <v>#N/A</v>
      </c>
      <c r="AR18" s="434" t="e">
        <f>+IF(T18=1,"N/A",IF((AQ18/T18)&lt;CONDUCTORES!$F$9,CONDUCTORES!$F$9,IF((AQ18/T18)&lt;CONDUCTORES!$F$10,CONDUCTORES!$F$10,IF((AQ18/T18)&lt;CONDUCTORES!$F$11,CONDUCTORES!$F$11,IF((AQ18/T18)&lt;CONDUCTORES!$F$12,CONDUCTORES!$F$12,IF((AQ18/T18)&lt;CONDUCTORES!$F$13,CONDUCTORES!$F$13,IF((AQ18/T18)&lt;CONDUCTORES!$F$14,CONDUCTORES!$F$14,IF((AQ18/T18)&lt;CONDUCTORES!$F$15,CONDUCTORES!$F$15,IF((AQ18/T18)&lt;CONDUCTORES!$F$16,CONDUCTORES!$F$16,IF((AQ18/T18)&lt;CONDUCTORES!$F$17,CONDUCTORES!$F$17,IF((AQ18/T18)&lt;CONDUCTORES!$F$18,CONDUCTORES!$F$18,IF((AQ18/T18)&lt;CONDUCTORES!$F$19,CONDUCTORES!$F$19,IF((AQ18/T18)&lt;CONDUCTORES!$F$20,CONDUCTORES!$F$20,IF((AQ18/T18)&lt;CONDUCTORES!$F$21,CONDUCTORES!$F$21,IF((AQ18/T18)&lt;CONDUCTORES!$F$22,CONDUCTORES!$F$22,CONDUCTORES!$F$23)))))))))))))))</f>
        <v>#N/A</v>
      </c>
      <c r="AS18" s="1924" t="s">
        <v>1271</v>
      </c>
      <c r="AT18" s="1925"/>
      <c r="AU18" s="1926"/>
      <c r="AV18" s="436" t="e">
        <f>IF(AM18="Cable Armado",IF(AQ18&lt;'CONDCUTORES MT'!$E$83,'CONDCUTORES MT'!$E$83,IF(AQ18&lt;'CONDCUTORES MT'!$E$84,'CONDCUTORES MT'!$E$84,IF(AQ18&lt;'CONDCUTORES MT'!$E$85,'CONDCUTORES MT'!$E$85,'CONDCUTORES MT'!$E$86))),IF(AND(G18&gt;=1000,G18&lt;=4160),IF(AQ18&lt;'CONDCUTORES MT'!$E$20,'CONDCUTORES MT'!$E$20,IF(AQ18&lt;'CONDCUTORES MT'!$E$21,'CONDCUTORES MT'!$E$21,IF(AQ18&lt;'CONDCUTORES MT'!$E$22,'CONDCUTORES MT'!$E$22,IF(AQ18&lt;'CONDCUTORES MT'!$E$23,'CONDCUTORES MT'!$E$23,IF(AQ18&lt;'CONDCUTORES MT'!$E$24,'CONDCUTORES MT'!$E$24,IF(AQ18&lt;'CONDCUTORES MT'!$E$25,'CONDCUTORES MT'!$E$25,IF(AQ18&lt;'CONDCUTORES MT'!$E$26,'CONDCUTORES MT'!$E$26,IF(AQ18&lt;'CONDCUTORES MT'!$E$27,'CONDCUTORES MT'!$E$27,'CONDCUTORES MT'!$E$28)))))))),IF(AND(G18&gt;=4161,G18&lt;=13800),IF(AQ18&lt;'CONDCUTORES MT'!$E$33,'CONDCUTORES MT'!$E$33,IF(AQ18&lt;'CONDCUTORES MT'!$E$34,'CONDCUTORES MT'!$E$34,IF(AQ18&lt;'CONDCUTORES MT'!$E$35,'CONDCUTORES MT'!$E$35,IF(AQ18&lt;'CONDCUTORES MT'!$E$36,'CONDCUTORES MT'!$E$36,IF(AQ18&lt;'CONDCUTORES MT'!$E$37,'CONDCUTORES MT'!$E$37,IF(AQ18&lt;'CONDCUTORES MT'!$E$38,'CONDCUTORES MT'!$E$38,IF(AQ18&lt;'CONDCUTORES MT'!$E$39,'CONDCUTORES MT'!$E$39,IF(AQ18&lt;'CONDCUTORES MT'!$E$40,'CONDCUTORES MT'!$E$40,'CONDCUTORES MT'!$E$41)))))))),IF(AQ18&lt;'CONDCUTORES MT'!$E$46,'CONDCUTORES MT'!$E$46,IF(AQ18&lt;'CONDCUTORES MT'!$E$47,'CONDCUTORES MT'!$E$47,IF(AQ18&lt;'CONDCUTORES MT'!$E$48,'CONDCUTORES MT'!$E$48,IF(AQ18&lt;'CONDCUTORES MT'!$E$49,'CONDCUTORES MT'!$E$49,IF(AQ18&lt;'CONDCUTORES MT'!$E$50,'CONDCUTORES MT'!$E$50,IF(AQ18&lt;'CONDCUTORES MT'!$E$51,'CONDCUTORES MT'!$E$51,IF(AQ18&lt;'CONDCUTORES MT'!$E$52,'CONDCUTORES MT'!$E$52,IF(AQ18&lt;'CONDCUTORES MT'!$E$53,'CONDCUTORES MT'!$E$53,'CONDCUTORES MT'!$E$54)))))))))))</f>
        <v>#N/A</v>
      </c>
      <c r="AW18" s="437" t="e">
        <f>IF(AM18="Cable Armado",IF(AV18&lt;637.42,"1 AWG",VLOOKUP(AV18,'CONDCUTORES MT'!$E$83:$Y$86,15,FALSE)),IF(AND(G18&gt;=1000,G18&lt;=4160),IF(AV18&lt;390.57,"1/0 AWG",VLOOKUP(AV18,'CONDCUTORES MT'!$E$20:$Y$28,15,FALSE)),IF(AND(G18&gt;=4161,G18&lt;=13800),IF(AV18&lt;593.95,"1/0 AWG",VLOOKUP(AV18,'CONDCUTORES MT'!$E$33:$Y$41,15,FALSE)),IF(AV18&lt;1116.28,"1/0 AWG",VLOOKUP(AV18,'CONDCUTORES MT'!$E$46:$Y$54,15,FALSE)))))</f>
        <v>#N/A</v>
      </c>
      <c r="AX18" s="437" t="e">
        <f>IF(AM18="Cable Armado",VLOOKUP(AW18,'CONDCUTORES MT'!$B$83:$Q$86,16,FALSE),VLOOKUP(AW18,'CONDCUTORES MT'!$S$20:$V$28,4,FALSE))</f>
        <v>#N/A</v>
      </c>
      <c r="AY18" s="437" t="e">
        <f>IF(AM18="Cable Armado",VLOOKUP(AX18,'CONDCUTORES MT'!$A$83:$AA$86,26,TRUE),IF(AND(H18&gt;=1000,H18&lt;=4160),VLOOKUP(AW18,'CONDCUTORES MT'!$B$20:$AA$28,25,TRUE),IF(AND(H18&gt;=4161,H18&lt;=13800),VLOOKUP(AW18,'CONDCUTORES MT'!$B$33:$AA$41,25,TRUE),VLOOKUP(AW18,'CONDCUTORES MT'!$B$46:$AA$54,25,TRUE))))</f>
        <v>#N/A</v>
      </c>
      <c r="AZ18" s="437" t="e">
        <f>IF(AM18="Cable Armado",VLOOKUP(AY18,'CONDCUTORES MT'!$B$83:$Q$86,16,FALSE),VLOOKUP(AY18,'CONDCUTORES MT'!$S$20:$V$28,4,FALSE))</f>
        <v>#N/A</v>
      </c>
      <c r="BA18" s="438" t="e">
        <f>+J18</f>
        <v>#N/A</v>
      </c>
      <c r="BB18" s="502" t="e">
        <f>($H18*$BA$4*($AX$4*$BC$5+$AO$4)*($AQ$4/(1+($AV$4/1))))</f>
        <v>#N/A</v>
      </c>
      <c r="BC18" s="439">
        <f>+$AM$4</f>
        <v>1.8349999999999999E-8</v>
      </c>
      <c r="BD18" s="437" t="e">
        <f>+(1+BM18+BN18)*(1+BO18+BP18)</f>
        <v>#N/A</v>
      </c>
      <c r="BE18" s="440" t="e">
        <f>IF(AM18="Cable Armado",VLOOKUP(N18,COSTOS!$B$106:$I$109,6,FALSE),VLOOKUP(N18,COSTOS!$B$7:$G$21,6,FALSE))</f>
        <v>#N/A</v>
      </c>
      <c r="BF18" s="437" t="e">
        <f>((2.5)/(18*(LN((IF(AM18="Cable Armado",VLOOKUP(N18,'CONDCUTORES MT'!$B$83:$X$86,23,FALSE),VLOOKUP(N18,CONDUCTORES!$B$9:$AF$23,24,FALSE)))/(IF(AM18="Cable Armado",VLOOKUP(N18,'CONDCUTORES MT'!$B$83:$X$86,3,FALSE),VLOOKUP(N18,CONDUCTORES!$B$9:$D$23,3,FALSE)))))))*0.000000001</f>
        <v>#N/A</v>
      </c>
      <c r="BG18" s="437" t="e">
        <f>+(2*PI()*60)*(BF18)*(G18^2)*(0.001)</f>
        <v>#N/A</v>
      </c>
      <c r="BH18" s="437" t="e">
        <f>(0.12)*(5000)*(LN((IF(AM18="Cable Armado",VLOOKUP(N18,'CONDCUTORES MT'!$B$83:$X$86,23,FALSE),VLOOKUP(N18,CONDUCTORES!$B$9:$AF$23,24,FALSE)))/(IF(AM18="Cable Armado",VLOOKUP(N18,'CONDCUTORES MT'!$B$83:$X$86,3,FALSE),VLOOKUP(N18,CONDUCTORES!$B$9:$D$23,3,FALSE)))))</f>
        <v>#N/A</v>
      </c>
      <c r="BI18" s="437" t="e">
        <f>+($BE$3)-(((J18^2)*(IF(AM18="Cable Armado",VLOOKUP(N18,'CONDCUTORES MT'!$B$83:$I$86,5,FALSE),VLOOKUP(N18,CONDUCTORES!$B$9:$K$23,7,FALSE))))+(0.5*BG18))*(BH18)</f>
        <v>#N/A</v>
      </c>
      <c r="BJ18" s="441" t="e">
        <f>1+$BL$4*(BI18-20)</f>
        <v>#N/A</v>
      </c>
      <c r="BK18" s="437" t="e">
        <f>+SQRT(((8*PI()*60)/(IF(AM18="Cable Armado",VLOOKUP(N18,'CONDCUTORES MT'!$B$83:$I$86,5,FALSE),VLOOKUP(N18,CONDUCTORES!$B$9:$K$23,7,FALSE))))*(0.0000001)*(1))</f>
        <v>#N/A</v>
      </c>
      <c r="BL18" s="437" t="e">
        <f>+SQRT(((8*PI()*60)/(IF(AM18="Cable Armado",VLOOKUP(N18,'CONDCUTORES MT'!$B$83:$I$86,5,FALSE),VLOOKUP(N18,CONDUCTORES!$B$9:$K$23,7,FALSE))))*(0.0000001)*(1))</f>
        <v>#N/A</v>
      </c>
      <c r="BM18" s="442" t="e">
        <f>((BL18^4)/((192)+((0.8)*(BL18^4))))*(((IF(AM18="Cable Armado",VLOOKUP(N18,'CONDCUTORES MT'!$B$83:$I$86,5,FALSE),VLOOKUP(N18,CONDUCTORES!$B$9:$K$23,7,FALSE)))/(1))^2)*(2.9)</f>
        <v>#N/A</v>
      </c>
      <c r="BN18" s="442" t="e">
        <f>+(BK18^4)/((192)+((0.8)*(BK18^4)))</f>
        <v>#N/A</v>
      </c>
      <c r="BO18" s="437" t="e">
        <f>+((BJ18)/(-BH18))*(1/(1+((BJ18)/(52.9))))</f>
        <v>#N/A</v>
      </c>
      <c r="BP18" s="437">
        <v>0</v>
      </c>
      <c r="BQ18" s="434" t="e">
        <f>IF(AM18="Cable Armado",VLOOKUP(AX18,'CONDCUTORES MT'!$A$83:$E$86,5,FALSE),IF(AND(G18&gt;=1000,G18&lt;=4160),VLOOKUP(AX18,'CONDCUTORES MT'!$A$20:$E$28,5,TRUE),IF(AND(G18&gt;=4161,G18&lt;=13800),VLOOKUP(AX18,'CONDCUTORES MT'!$A$33:$E$41,5,TRUE),VLOOKUP(AX18,'CONDCUTORES MT'!$A$46:$E$54,5,TRUE))))</f>
        <v>#N/A</v>
      </c>
      <c r="BR18" s="434" t="e">
        <f>IF(AM18="Cable Armado",VLOOKUP(AZ18,'CONDCUTORES MT'!$A$83:$E$86,5,FALSE),IF(AND(G18&gt;=1000,G18&lt;=4160),VLOOKUP(AZ18,'CONDCUTORES MT'!$A$20:$E$28,5,TRUE),IF(AND(G18&gt;=4161,G18&lt;=13800),VLOOKUP(AZ18,'CONDCUTORES MT'!$A$33:$E$41,5,TRUE),VLOOKUP(AZ18,'CONDCUTORES MT'!$A$46:$E$54,5,TRUE))))</f>
        <v>#N/A</v>
      </c>
      <c r="BS18" s="443" t="e">
        <f>+(BC18*BD18*(1+$BL$4*($BJ$4-20))/(BQ18))*10^6</f>
        <v>#N/A</v>
      </c>
      <c r="BT18" s="443" t="e">
        <f>+(BC18*BD18*(1+$BL$4*($BJ$4-20))/(BR18))*10^6</f>
        <v>#N/A</v>
      </c>
      <c r="BU18" s="443" t="e">
        <f>+(BC18*BD18*(1+$BL$4*($BJ$4-20))/(AP18))*10^6</f>
        <v>#N/A</v>
      </c>
      <c r="BV18" s="444" t="e">
        <f>(L18)*((J18)^2)*(BS18)*(BB18)</f>
        <v>#N/A</v>
      </c>
      <c r="BW18" s="444" t="e">
        <f>(L18)*((J18)^2)*(BT18)*(BB18)</f>
        <v>#N/A</v>
      </c>
      <c r="BX18" s="444" t="e">
        <f>(L18)*((J18)^2)*(BU18)*(BB18)</f>
        <v>#N/A</v>
      </c>
      <c r="BY18" s="444" t="e">
        <f>IF(AND(G18&gt;=1000,G18&lt;=4160),VLOOKUP(AX18,IF(AM18="Cable Armado",COSTOS!$A$106:$G$109,COSTOS!$A$67:$I$75),4,FALSE),IF(AND(G18&gt;=4161,G18&lt;=13800),VLOOKUP(AX18,IF(AM18="Cable Armado",COSTOS!$A$106:$G$109,COSTOS!$A$80:$I$88),4,FALSE),VLOOKUP(AX18,IF(AM18="Cable Armado",COSTOS!$A$106:$G$109,COSTOS!$A$93:$I$101),4,FALSE)))</f>
        <v>#N/A</v>
      </c>
      <c r="BZ18" s="444" t="e">
        <f>IF(AND(G18&gt;=1000,G18&lt;=4160),VLOOKUP(AX18,IF(AM18="Cable Armado",COSTOS!$A$106:$G$109,COSTOS!$A$67:$I$75),5,FALSE),IF(AND(G18&gt;=4161,G18&lt;=13800),VLOOKUP(AX18,IF(AM18="Cable Armado",COSTOS!$A$106:$G$109,COSTOS!$A$80:$I$88),5,FALSE),VLOOKUP(AX18,IF(AM18="Cable Armado",COSTOS!$A$106:$G$109,COSTOS!$A$93:$I$101),5,FALSE)))</f>
        <v>#N/A</v>
      </c>
      <c r="CA18" s="444" t="e">
        <f>+BY18+BZ18</f>
        <v>#N/A</v>
      </c>
      <c r="CB18" s="444" t="e">
        <f>+CA18*L18*(IF(AM18="Monopolar",T18*H18,T18*AH18))</f>
        <v>#N/A</v>
      </c>
      <c r="CC18" s="444" t="e">
        <f>IF(AND(G18&gt;=1000,G18&lt;=4160),VLOOKUP(AZ18,IF(AM18="Cable Armado",COSTOS!$A$106:$G$109,COSTOS!$A$67:$I$75),4,FALSE),IF(AND(G18&gt;=4161,G18&lt;=13800),VLOOKUP(AZ18,IF(AM18="Cable Armado",COSTOS!$A$106:$G$109,COSTOS!$A$80:$I$88),4,FALSE),VLOOKUP(AZ18,IF(AM18="Cable Armado",COSTOS!$A$106:$G$109,COSTOS!$A$93:$I$101),4,FALSE)))</f>
        <v>#N/A</v>
      </c>
      <c r="CD18" s="444" t="e">
        <f>IF(AND(G18&gt;=1000,G18&lt;=4160),VLOOKUP(AZ18,IF(AM18="Cable Armado",COSTOS!$A$106:$G$109,COSTOS!$A$67:$I$75),5,FALSE),IF(AND(G18&gt;=4161,G18&lt;=13800),VLOOKUP(AZ18,IF(AM18="Cable Armado",COSTOS!$A$106:$G$109,COSTOS!$A$80:$I$88),5,FALSE),VLOOKUP(AZ18,IF(AM18="Cable Armado",COSTOS!$A$106:$G$109,COSTOS!$A$93:$I$101),5,FALSE)))</f>
        <v>#N/A</v>
      </c>
      <c r="CE18" s="444" t="e">
        <f>+CC18+CD18</f>
        <v>#N/A</v>
      </c>
      <c r="CF18" s="444" t="e">
        <f>+CE18*L18*(IF(AM18="Monopolar",T18*H18,T18*AH18))</f>
        <v>#N/A</v>
      </c>
      <c r="CG18" s="444" t="e">
        <f>IF(AND(G18&gt;=1000,G18&lt;=4160),VLOOKUP(AO18,IF(AM18="Cable Armado",COSTOS!$A$106:$G$109,COSTOS!$A$67:$I$75),4,FALSE),IF(AND(G18&gt;=4161,G18&lt;=13800),VLOOKUP(AO18,IF(AM18="Cable Armado",COSTOS!$A$106:$G$109,COSTOS!$A$80:$I$88),4,FALSE),VLOOKUP(AO18,IF(AM18="Cable Armado",COSTOS!$A$106:$G$109,COSTOS!$A$93:$I$101),4,FALSE)))</f>
        <v>#N/A</v>
      </c>
      <c r="CH18" s="444" t="e">
        <f>IF(AND(G18&gt;=1000,G18&lt;=4160),VLOOKUP(AO18,IF(AM18="Cable Armado",COSTOS!$A$106:$G$109,COSTOS!$A$67:$I$75),5,FALSE),IF(AND(G18&gt;=4161,G18&lt;=13800),VLOOKUP(AO18,IF(AM18="Cable Armado",COSTOS!$A$106:$G$109,COSTOS!$A$80:$I$88),5,FALSE),VLOOKUP(AO18,IF(AM18="Cable Armado",COSTOS!$A$106:$G$109,COSTOS!$A$93:$I$101),5,FALSE)))</f>
        <v>#N/A</v>
      </c>
      <c r="CI18" s="444" t="e">
        <f>+CG18+CH18</f>
        <v>#N/A</v>
      </c>
      <c r="CJ18" s="444" t="e">
        <f>+CI18*L18*(IF(AM18="Monopolar",M18*H18,M18*AH18))</f>
        <v>#N/A</v>
      </c>
      <c r="CK18" s="444" t="e">
        <f>(CB18)+(BV18)</f>
        <v>#N/A</v>
      </c>
      <c r="CL18" s="444" t="e">
        <f>(CF18)+(BW18)</f>
        <v>#N/A</v>
      </c>
      <c r="CM18" s="444" t="e">
        <f>(CJ18)+(BX18)</f>
        <v>#N/A</v>
      </c>
      <c r="CN18" s="445" t="e">
        <f>IF(VLOOKUP(C18,'CÁLCULO CONDUCTORES DE MT'!$D$19:$AG$299,21,FALSE)="AÉREO","SI","NO")</f>
        <v>#N/A</v>
      </c>
      <c r="CO18" s="446"/>
      <c r="CP18" s="446"/>
      <c r="CQ18" s="446"/>
      <c r="CR18" s="446"/>
    </row>
    <row r="19" spans="1:96" s="408" customFormat="1" ht="25.5" hidden="1" customHeight="1" x14ac:dyDescent="0.25">
      <c r="A19" s="372">
        <f>+IF(OR(AL19=0,AL19=1),0,COUNTIF(AL$16:AL19,AL19))</f>
        <v>3</v>
      </c>
      <c r="B19" s="532" t="s">
        <v>1272</v>
      </c>
      <c r="C19" s="417" t="e">
        <f>+VLOOKUP(A19,'CÁLCULO CONDUCTORES DE MT'!$B$17:$BR$264,3,FALSE)</f>
        <v>#N/A</v>
      </c>
      <c r="D19" s="418" t="e">
        <f>+VLOOKUP(C19,'CÁLCULO CONDUCTORES DE MT'!$D$2:$CF$263,2,FALSE)</f>
        <v>#N/A</v>
      </c>
      <c r="E19" s="419" t="e">
        <f>+VLOOKUP(C19,'CÁLCULO CONDUCTORES DE MT'!$D$2:$CF$263,5,FALSE)</f>
        <v>#N/A</v>
      </c>
      <c r="F19" s="420" t="e">
        <f>+VLOOKUP(C19,'CÁLCULO CONDUCTORES DE MT'!$D$2:$CF$263,6,FALSE)</f>
        <v>#N/A</v>
      </c>
      <c r="G19" s="421" t="e">
        <f>+VLOOKUP(C19,'CÁLCULO CONDUCTORES DE MT'!$D$2:$CF$263,7,FALSE)</f>
        <v>#N/A</v>
      </c>
      <c r="H19" s="422" t="e">
        <f>+VLOOKUP(C19,'CÁLCULO CONDUCTORES DE MT'!$D$2:$CF$263,8,FALSE)</f>
        <v>#N/A</v>
      </c>
      <c r="I19" s="423" t="e">
        <f>+VLOOKUP(C19,'CÁLCULO CONDUCTORES DE MT'!$D$2:$CF$263,9,FALSE)</f>
        <v>#N/A</v>
      </c>
      <c r="J19" s="424" t="e">
        <f>+VLOOKUP(C19,'CÁLCULO CONDUCTORES DE MT'!$D$2:$CF$263,12,FALSE)</f>
        <v>#N/A</v>
      </c>
      <c r="K19" s="425" t="e">
        <f>+VLOOKUP(C19,'CÁLCULO CONDUCTORES DE MT'!$D$2:$CF$263,10,FALSE)</f>
        <v>#N/A</v>
      </c>
      <c r="L19" s="342" t="e">
        <f>+VLOOKUP(C19,'CÁLCULO CONDUCTORES DE MT'!$D$2:$CF$263,4,FALSE)</f>
        <v>#N/A</v>
      </c>
      <c r="M19" s="426" t="e">
        <f>+AH19</f>
        <v>#N/A</v>
      </c>
      <c r="N19" s="427" t="e">
        <f>+VLOOKUP(C19,'CÁLCULO CONDUCTORES DE MT'!$D$2:$CF$263,31,FALSE)</f>
        <v>#N/A</v>
      </c>
      <c r="O19" s="428" t="e">
        <f>IF(VLOOKUP(C19,'CÁLCULO CONDUCTORES DE MT'!$D$19:$AG$299,21,FALSE)="AÉREO","Al","Cu")</f>
        <v>#N/A</v>
      </c>
      <c r="P19" s="429"/>
      <c r="Q19" s="430" t="e">
        <f>IF(O19="Al","N/A",CK19)</f>
        <v>#N/A</v>
      </c>
      <c r="R19" s="430" t="e">
        <f>IF(O19="Al","N/A",CL19)</f>
        <v>#N/A</v>
      </c>
      <c r="S19" s="430" t="e">
        <f>IF(O19="Al","N/A",CM19)</f>
        <v>#N/A</v>
      </c>
      <c r="T19" s="431" t="e">
        <f>IF(O19="Al","N/A",AH19)</f>
        <v>#N/A</v>
      </c>
      <c r="U19" s="430" t="e">
        <f>IF(O19="Al","N/A",AW19)</f>
        <v>#N/A</v>
      </c>
      <c r="V19" s="431" t="e">
        <f>IF(O19="Al","N/A",AH19)</f>
        <v>#N/A</v>
      </c>
      <c r="W19" s="430" t="e">
        <f>IF(O19="Al","N/A",AY19)</f>
        <v>#N/A</v>
      </c>
      <c r="X19" s="432" t="e">
        <f>IF(O19="Al","N/A",IF(MIN(Q19:S19)=S19,"OPCIÓN TÉCNICA",IF(MIN(Q19:S19)=R19,"OPCIÓN 2","OPCIÓN 1")))</f>
        <v>#N/A</v>
      </c>
      <c r="Y19" s="392"/>
      <c r="AE19" s="392"/>
      <c r="AF19" s="392"/>
      <c r="AG19" s="392"/>
      <c r="AH19" s="343" t="e">
        <f>+VLOOKUP(C19,'CÁLCULO CONDUCTORES DE MT'!$D$2:$BE$263,32,FALSE)</f>
        <v>#N/A</v>
      </c>
      <c r="AI19" s="343" t="e">
        <f>+VLOOKUP(C19,'CÁLCULO CONDUCTORES DE MT'!$D$2:$BE$263,31,FALSE)</f>
        <v>#N/A</v>
      </c>
      <c r="AJ19" s="343" t="e">
        <f>+AH19</f>
        <v>#N/A</v>
      </c>
      <c r="AK19" s="343" t="e">
        <f>IF((VLOOKUP(C19,'CÁLCULO CONDUCTORES DE MT'!$D$2:$BE$263,47,FALSE))="No",LOOKUP((IF(VLOOKUP(C19,'CÁLCULO CONDUCTORES DE MT'!$D$2:$BE$263,15,FALSE)="VER NOTAS",15,VLOOKUP(C19,'CÁLCULO CONDUCTORES DE MT'!$D$2:$BE$263,15,FALSE))),CONDUCTORES!$A$111:$A$131,IF(VLOOKUP(C19,'CÁLCULO CONDUCTORES DE MT'!$D$2:$BE$263,35,FALSE)="Cu",CONDUCTORES!$B$111:$B$131,CONDUCTORES!$C$111:$C$131)),VLOOKUP(C19,'CÁLCULO CONDUCTORES DE MT'!$D$2:$BE$263,47,FALSE))</f>
        <v>#N/A</v>
      </c>
      <c r="AL19" s="340">
        <f>LEN(B19)-LEN(SUBSTITUTE(B19,IF(ISNUMBER(FIND(".",B19)),".",","),""))</f>
        <v>2</v>
      </c>
      <c r="AM19" s="341" t="e">
        <f>+VLOOKUP(C19,'CÁLCULO CONDUCTORES DE MT'!$D$2:$CF$263,33,FALSE)</f>
        <v>#N/A</v>
      </c>
      <c r="AN19" s="531" t="e">
        <f>IF(AM19="Monopolar","N/A",)</f>
        <v>#N/A</v>
      </c>
      <c r="AO19" s="433" t="e">
        <f>+VLOOKUP(C19,'CÁLCULO CONDUCTORES DE MT'!$D$2:$CF$263,58,FALSE)</f>
        <v>#N/A</v>
      </c>
      <c r="AP19" s="434" t="e">
        <f>(IF(AM19="Cable Armado",VLOOKUP(AO19,'CONDCUTORES MT'!$A$83:$F$86,5,TRUE),IF(AND(G19&gt;=1000,G19&lt;=4160),VLOOKUP(AO19,'CONDCUTORES MT'!$A$20:$E$28,5,TRUE),IF(AND(G19&gt;=4161,G19&lt;=13800),VLOOKUP(AO19,'CONDCUTORES MT'!$A$33:$E$41,5,TRUE),VLOOKUP(AO19,'CONDCUTORES MT'!$A$46:$E$54,5,TRUE)))))*(AH19)</f>
        <v>#N/A</v>
      </c>
      <c r="AQ19" s="435" t="e">
        <f>+(1000*((J19^2*BB19*$AJ$4*BD19*(1+$BL$4*($BJ$4-20)))/BE19)^0.5)</f>
        <v>#N/A</v>
      </c>
      <c r="AR19" s="434" t="e">
        <f>+IF(T19=1,"N/A",IF((AQ19/T19)&lt;CONDUCTORES!$F$9,CONDUCTORES!$F$9,IF((AQ19/T19)&lt;CONDUCTORES!$F$10,CONDUCTORES!$F$10,IF((AQ19/T19)&lt;CONDUCTORES!$F$11,CONDUCTORES!$F$11,IF((AQ19/T19)&lt;CONDUCTORES!$F$12,CONDUCTORES!$F$12,IF((AQ19/T19)&lt;CONDUCTORES!$F$13,CONDUCTORES!$F$13,IF((AQ19/T19)&lt;CONDUCTORES!$F$14,CONDUCTORES!$F$14,IF((AQ19/T19)&lt;CONDUCTORES!$F$15,CONDUCTORES!$F$15,IF((AQ19/T19)&lt;CONDUCTORES!$F$16,CONDUCTORES!$F$16,IF((AQ19/T19)&lt;CONDUCTORES!$F$17,CONDUCTORES!$F$17,IF((AQ19/T19)&lt;CONDUCTORES!$F$18,CONDUCTORES!$F$18,IF((AQ19/T19)&lt;CONDUCTORES!$F$19,CONDUCTORES!$F$19,IF((AQ19/T19)&lt;CONDUCTORES!$F$20,CONDUCTORES!$F$20,IF((AQ19/T19)&lt;CONDUCTORES!$F$21,CONDUCTORES!$F$21,IF((AQ19/T19)&lt;CONDUCTORES!$F$22,CONDUCTORES!$F$22,CONDUCTORES!$F$23)))))))))))))))</f>
        <v>#N/A</v>
      </c>
      <c r="AS19" s="1924" t="s">
        <v>1271</v>
      </c>
      <c r="AT19" s="1925"/>
      <c r="AU19" s="1926"/>
      <c r="AV19" s="436" t="e">
        <f>IF(AM19="Cable Armado",IF(AQ19&lt;'CONDCUTORES MT'!$E$83,'CONDCUTORES MT'!$E$83,IF(AQ19&lt;'CONDCUTORES MT'!$E$84,'CONDCUTORES MT'!$E$84,IF(AQ19&lt;'CONDCUTORES MT'!$E$85,'CONDCUTORES MT'!$E$85,'CONDCUTORES MT'!$E$86))),IF(AND(G19&gt;=1000,G19&lt;=4160),IF(AQ19&lt;'CONDCUTORES MT'!$E$20,'CONDCUTORES MT'!$E$20,IF(AQ19&lt;'CONDCUTORES MT'!$E$21,'CONDCUTORES MT'!$E$21,IF(AQ19&lt;'CONDCUTORES MT'!$E$22,'CONDCUTORES MT'!$E$22,IF(AQ19&lt;'CONDCUTORES MT'!$E$23,'CONDCUTORES MT'!$E$23,IF(AQ19&lt;'CONDCUTORES MT'!$E$24,'CONDCUTORES MT'!$E$24,IF(AQ19&lt;'CONDCUTORES MT'!$E$25,'CONDCUTORES MT'!$E$25,IF(AQ19&lt;'CONDCUTORES MT'!$E$26,'CONDCUTORES MT'!$E$26,IF(AQ19&lt;'CONDCUTORES MT'!$E$27,'CONDCUTORES MT'!$E$27,'CONDCUTORES MT'!$E$28)))))))),IF(AND(G19&gt;=4161,G19&lt;=13800),IF(AQ19&lt;'CONDCUTORES MT'!$E$33,'CONDCUTORES MT'!$E$33,IF(AQ19&lt;'CONDCUTORES MT'!$E$34,'CONDCUTORES MT'!$E$34,IF(AQ19&lt;'CONDCUTORES MT'!$E$35,'CONDCUTORES MT'!$E$35,IF(AQ19&lt;'CONDCUTORES MT'!$E$36,'CONDCUTORES MT'!$E$36,IF(AQ19&lt;'CONDCUTORES MT'!$E$37,'CONDCUTORES MT'!$E$37,IF(AQ19&lt;'CONDCUTORES MT'!$E$38,'CONDCUTORES MT'!$E$38,IF(AQ19&lt;'CONDCUTORES MT'!$E$39,'CONDCUTORES MT'!$E$39,IF(AQ19&lt;'CONDCUTORES MT'!$E$40,'CONDCUTORES MT'!$E$40,'CONDCUTORES MT'!$E$41)))))))),IF(AQ19&lt;'CONDCUTORES MT'!$E$46,'CONDCUTORES MT'!$E$46,IF(AQ19&lt;'CONDCUTORES MT'!$E$47,'CONDCUTORES MT'!$E$47,IF(AQ19&lt;'CONDCUTORES MT'!$E$48,'CONDCUTORES MT'!$E$48,IF(AQ19&lt;'CONDCUTORES MT'!$E$49,'CONDCUTORES MT'!$E$49,IF(AQ19&lt;'CONDCUTORES MT'!$E$50,'CONDCUTORES MT'!$E$50,IF(AQ19&lt;'CONDCUTORES MT'!$E$51,'CONDCUTORES MT'!$E$51,IF(AQ19&lt;'CONDCUTORES MT'!$E$52,'CONDCUTORES MT'!$E$52,IF(AQ19&lt;'CONDCUTORES MT'!$E$53,'CONDCUTORES MT'!$E$53,'CONDCUTORES MT'!$E$54)))))))))))</f>
        <v>#N/A</v>
      </c>
      <c r="AW19" s="437" t="e">
        <f>IF(AM19="Cable Armado",IF(AV19&lt;637.42,"1 AWG",VLOOKUP(AV19,'CONDCUTORES MT'!$E$83:$Y$86,15,FALSE)),IF(AND(G19&gt;=1000,G19&lt;=4160),IF(AV19&lt;390.57,"1/0 AWG",VLOOKUP(AV19,'CONDCUTORES MT'!$E$20:$Y$28,15,FALSE)),IF(AND(G19&gt;=4161,G19&lt;=13800),IF(AV19&lt;593.95,"1/0 AWG",VLOOKUP(AV19,'CONDCUTORES MT'!$E$33:$Y$41,15,FALSE)),IF(AV19&lt;1116.28,"1/0 AWG",VLOOKUP(AV19,'CONDCUTORES MT'!$E$46:$Y$54,15,FALSE)))))</f>
        <v>#N/A</v>
      </c>
      <c r="AX19" s="437" t="e">
        <f>IF(AM19="Cable Armado",VLOOKUP(AW19,'CONDCUTORES MT'!$B$83:$Q$86,16,FALSE),VLOOKUP(AW19,'CONDCUTORES MT'!$S$20:$V$28,4,FALSE))</f>
        <v>#N/A</v>
      </c>
      <c r="AY19" s="437" t="e">
        <f>IF(AM19="Cable Armado",VLOOKUP(AX19,'CONDCUTORES MT'!$A$83:$AA$86,26,TRUE),IF(AND(H19&gt;=1000,H19&lt;=4160),VLOOKUP(AW19,'CONDCUTORES MT'!$B$20:$AA$28,25,TRUE),IF(AND(H19&gt;=4161,H19&lt;=13800),VLOOKUP(AW19,'CONDCUTORES MT'!$B$33:$AA$41,25,TRUE),VLOOKUP(AW19,'CONDCUTORES MT'!$B$46:$AA$54,25,TRUE))))</f>
        <v>#N/A</v>
      </c>
      <c r="AZ19" s="437" t="e">
        <f>IF(AM19="Cable Armado",VLOOKUP(AY19,'CONDCUTORES MT'!$B$83:$Q$86,16,FALSE),VLOOKUP(AY19,'CONDCUTORES MT'!$S$20:$V$28,4,FALSE))</f>
        <v>#N/A</v>
      </c>
      <c r="BA19" s="438" t="e">
        <f>+J19</f>
        <v>#N/A</v>
      </c>
      <c r="BB19" s="502" t="e">
        <f>($H19*$BA$4*($AX$4*$BC$5+$AO$4)*($AQ$4/(1+($AV$4/1))))</f>
        <v>#N/A</v>
      </c>
      <c r="BC19" s="439">
        <f>+$AM$4</f>
        <v>1.8349999999999999E-8</v>
      </c>
      <c r="BD19" s="437" t="e">
        <f>+(1+BM19+BN19)*(1+BO19+BP19)</f>
        <v>#N/A</v>
      </c>
      <c r="BE19" s="440" t="e">
        <f>IF(AM19="Cable Armado",VLOOKUP(N19,COSTOS!$B$106:$I$109,6,FALSE),VLOOKUP(N19,COSTOS!$B$7:$G$21,6,FALSE))</f>
        <v>#N/A</v>
      </c>
      <c r="BF19" s="437" t="e">
        <f>((2.5)/(18*(LN((IF(AM19="Cable Armado",VLOOKUP(N19,'CONDCUTORES MT'!$B$83:$X$86,23,FALSE),VLOOKUP(N19,CONDUCTORES!$B$9:$AF$23,24,FALSE)))/(IF(AM19="Cable Armado",VLOOKUP(N19,'CONDCUTORES MT'!$B$83:$X$86,3,FALSE),VLOOKUP(N19,CONDUCTORES!$B$9:$D$23,3,FALSE)))))))*0.000000001</f>
        <v>#N/A</v>
      </c>
      <c r="BG19" s="437" t="e">
        <f>+(2*PI()*60)*(BF19)*(G19^2)*(0.001)</f>
        <v>#N/A</v>
      </c>
      <c r="BH19" s="437" t="e">
        <f>(0.12)*(5000)*(LN((IF(AM19="Cable Armado",VLOOKUP(N19,'CONDCUTORES MT'!$B$83:$X$86,23,FALSE),VLOOKUP(N19,CONDUCTORES!$B$9:$AF$23,24,FALSE)))/(IF(AM19="Cable Armado",VLOOKUP(N19,'CONDCUTORES MT'!$B$83:$X$86,3,FALSE),VLOOKUP(N19,CONDUCTORES!$B$9:$D$23,3,FALSE)))))</f>
        <v>#N/A</v>
      </c>
      <c r="BI19" s="437" t="e">
        <f>+($BE$3)-(((J19^2)*(IF(AM19="Cable Armado",VLOOKUP(N19,'CONDCUTORES MT'!$B$83:$I$86,5,FALSE),VLOOKUP(N19,CONDUCTORES!$B$9:$K$23,7,FALSE))))+(0.5*BG19))*(BH19)</f>
        <v>#N/A</v>
      </c>
      <c r="BJ19" s="441" t="e">
        <f>1+$BL$4*(BI19-20)</f>
        <v>#N/A</v>
      </c>
      <c r="BK19" s="437" t="e">
        <f>+SQRT(((8*PI()*60)/(IF(AM19="Cable Armado",VLOOKUP(N19,'CONDCUTORES MT'!$B$83:$I$86,5,FALSE),VLOOKUP(N19,CONDUCTORES!$B$9:$K$23,7,FALSE))))*(0.0000001)*(1))</f>
        <v>#N/A</v>
      </c>
      <c r="BL19" s="437" t="e">
        <f>+SQRT(((8*PI()*60)/(IF(AM19="Cable Armado",VLOOKUP(N19,'CONDCUTORES MT'!$B$83:$I$86,5,FALSE),VLOOKUP(N19,CONDUCTORES!$B$9:$K$23,7,FALSE))))*(0.0000001)*(1))</f>
        <v>#N/A</v>
      </c>
      <c r="BM19" s="442" t="e">
        <f>((BL19^4)/((192)+((0.8)*(BL19^4))))*(((IF(AM19="Cable Armado",VLOOKUP(N19,'CONDCUTORES MT'!$B$83:$I$86,5,FALSE),VLOOKUP(N19,CONDUCTORES!$B$9:$K$23,7,FALSE)))/(1))^2)*(2.9)</f>
        <v>#N/A</v>
      </c>
      <c r="BN19" s="442" t="e">
        <f>+(BK19^4)/((192)+((0.8)*(BK19^4)))</f>
        <v>#N/A</v>
      </c>
      <c r="BO19" s="437" t="e">
        <f>+((BJ19)/(-BH19))*(1/(1+((BJ19)/(52.9))))</f>
        <v>#N/A</v>
      </c>
      <c r="BP19" s="437">
        <v>1</v>
      </c>
      <c r="BQ19" s="434" t="e">
        <f>IF(AM19="Cable Armado",VLOOKUP(AX19,'CONDCUTORES MT'!$A$83:$E$86,5,FALSE),IF(AND(G19&gt;=1000,G19&lt;=4160),VLOOKUP(AX19,'CONDCUTORES MT'!$A$20:$E$28,5,TRUE),IF(AND(G19&gt;=4161,G19&lt;=13800),VLOOKUP(AX19,'CONDCUTORES MT'!$A$33:$E$41,5,TRUE),VLOOKUP(AX19,'CONDCUTORES MT'!$A$46:$E$54,5,TRUE))))</f>
        <v>#N/A</v>
      </c>
      <c r="BR19" s="434" t="e">
        <f>IF(AM19="Cable Armado",VLOOKUP(AZ19,'CONDCUTORES MT'!$A$83:$E$86,5,FALSE),IF(AND(G19&gt;=1000,G19&lt;=4160),VLOOKUP(AZ19,'CONDCUTORES MT'!$A$20:$E$28,5,TRUE),IF(AND(G19&gt;=4161,G19&lt;=13800),VLOOKUP(AZ19,'CONDCUTORES MT'!$A$33:$E$41,5,TRUE),VLOOKUP(AZ19,'CONDCUTORES MT'!$A$46:$E$54,5,TRUE))))</f>
        <v>#N/A</v>
      </c>
      <c r="BS19" s="443" t="e">
        <f>+(BC19*BD19*(1+$BL$4*($BJ$4-20))/(BQ19))*10^6</f>
        <v>#N/A</v>
      </c>
      <c r="BT19" s="443" t="e">
        <f>+(BC19*BD19*(1+$BL$4*($BJ$4-20))/(BR19))*10^6</f>
        <v>#N/A</v>
      </c>
      <c r="BU19" s="443" t="e">
        <f>+(BC19*BD19*(1+$BL$4*($BJ$4-20))/(AP19))*10^6</f>
        <v>#N/A</v>
      </c>
      <c r="BV19" s="444" t="e">
        <f>(L19)*((J19)^2)*(BS19)*(BB19)</f>
        <v>#N/A</v>
      </c>
      <c r="BW19" s="444" t="e">
        <f>(L19)*((J19)^2)*(BT19)*(BB19)</f>
        <v>#N/A</v>
      </c>
      <c r="BX19" s="444" t="e">
        <f>(L19)*((J19)^2)*(BU19)*(BB19)</f>
        <v>#N/A</v>
      </c>
      <c r="BY19" s="444" t="e">
        <f>IF(AND(G19&gt;=1000,G19&lt;=4160),VLOOKUP(AX19,IF(AM19="Cable Armado",COSTOS!$A$106:$G$109,COSTOS!$A$67:$I$75),4,FALSE),IF(AND(G19&gt;=4161,G19&lt;=13800),VLOOKUP(AX19,IF(AM19="Cable Armado",COSTOS!$A$106:$G$109,COSTOS!$A$80:$I$88),4,FALSE),VLOOKUP(AX19,IF(AM19="Cable Armado",COSTOS!$A$106:$G$109,COSTOS!$A$93:$I$101),4,FALSE)))</f>
        <v>#N/A</v>
      </c>
      <c r="BZ19" s="444" t="e">
        <f>IF(AND(G19&gt;=1000,G19&lt;=4160),VLOOKUP(AX19,IF(AM19="Cable Armado",COSTOS!$A$106:$G$109,COSTOS!$A$67:$I$75),5,FALSE),IF(AND(G19&gt;=4161,G19&lt;=13800),VLOOKUP(AX19,IF(AM19="Cable Armado",COSTOS!$A$106:$G$109,COSTOS!$A$80:$I$88),5,FALSE),VLOOKUP(AX19,IF(AM19="Cable Armado",COSTOS!$A$106:$G$109,COSTOS!$A$93:$I$101),5,FALSE)))</f>
        <v>#N/A</v>
      </c>
      <c r="CA19" s="444" t="e">
        <f>+BY19+BZ19</f>
        <v>#N/A</v>
      </c>
      <c r="CB19" s="444" t="e">
        <f>+CA19*L19*(IF(AM19="Monopolar",T19*H19,T19*AH19))</f>
        <v>#N/A</v>
      </c>
      <c r="CC19" s="444" t="e">
        <f>IF(AND(G19&gt;=1000,G19&lt;=4160),VLOOKUP(AZ19,IF(AM19="Cable Armado",COSTOS!$A$106:$G$109,COSTOS!$A$67:$I$75),4,FALSE),IF(AND(G19&gt;=4161,G19&lt;=13800),VLOOKUP(AZ19,IF(AM19="Cable Armado",COSTOS!$A$106:$G$109,COSTOS!$A$80:$I$88),4,FALSE),VLOOKUP(AZ19,IF(AM19="Cable Armado",COSTOS!$A$106:$G$109,COSTOS!$A$93:$I$101),4,FALSE)))</f>
        <v>#N/A</v>
      </c>
      <c r="CD19" s="444" t="e">
        <f>IF(AND(G19&gt;=1000,G19&lt;=4160),VLOOKUP(AZ19,IF(AM19="Cable Armado",COSTOS!$A$106:$G$109,COSTOS!$A$67:$I$75),5,FALSE),IF(AND(G19&gt;=4161,G19&lt;=13800),VLOOKUP(AZ19,IF(AM19="Cable Armado",COSTOS!$A$106:$G$109,COSTOS!$A$80:$I$88),5,FALSE),VLOOKUP(AZ19,IF(AM19="Cable Armado",COSTOS!$A$106:$G$109,COSTOS!$A$93:$I$101),5,FALSE)))</f>
        <v>#N/A</v>
      </c>
      <c r="CE19" s="444" t="e">
        <f>+CC19+CD19</f>
        <v>#N/A</v>
      </c>
      <c r="CF19" s="444" t="e">
        <f>+CE19*L19*(IF(AM19="Monopolar",T19*H19,T19*AH19))</f>
        <v>#N/A</v>
      </c>
      <c r="CG19" s="444" t="e">
        <f>IF(AND(G19&gt;=1000,G19&lt;=4160),VLOOKUP(AO19,IF(AM19="Cable Armado",COSTOS!$A$106:$G$109,COSTOS!$A$67:$I$75),4,FALSE),IF(AND(G19&gt;=4161,G19&lt;=13800),VLOOKUP(AO19,IF(AM19="Cable Armado",COSTOS!$A$106:$G$109,COSTOS!$A$80:$I$88),4,FALSE),VLOOKUP(AO19,IF(AM19="Cable Armado",COSTOS!$A$106:$G$109,COSTOS!$A$93:$I$101),4,FALSE)))</f>
        <v>#N/A</v>
      </c>
      <c r="CH19" s="444" t="e">
        <f>IF(AND(G19&gt;=1000,G19&lt;=4160),VLOOKUP(AO19,IF(AM19="Cable Armado",COSTOS!$A$106:$G$109,COSTOS!$A$67:$I$75),5,FALSE),IF(AND(G19&gt;=4161,G19&lt;=13800),VLOOKUP(AO19,IF(AM19="Cable Armado",COSTOS!$A$106:$G$109,COSTOS!$A$80:$I$88),5,FALSE),VLOOKUP(AO19,IF(AM19="Cable Armado",COSTOS!$A$106:$G$109,COSTOS!$A$93:$I$101),5,FALSE)))</f>
        <v>#N/A</v>
      </c>
      <c r="CI19" s="444" t="e">
        <f>+CG19+CH19</f>
        <v>#N/A</v>
      </c>
      <c r="CJ19" s="444" t="e">
        <f>+CI19*L19*(IF(AM19="Monopolar",M19*H19,M19*AH19))</f>
        <v>#N/A</v>
      </c>
      <c r="CK19" s="444" t="e">
        <f>(CB19)+(BV19)</f>
        <v>#N/A</v>
      </c>
      <c r="CL19" s="444" t="e">
        <f>(CF19)+(BW19)</f>
        <v>#N/A</v>
      </c>
      <c r="CM19" s="444" t="e">
        <f>(CJ19)+(BX19)</f>
        <v>#N/A</v>
      </c>
      <c r="CN19" s="445" t="e">
        <f>IF(VLOOKUP(C19,'CÁLCULO CONDUCTORES DE MT'!$D$19:$AG$299,21,FALSE)="AÉREO","SI","NO")</f>
        <v>#N/A</v>
      </c>
      <c r="CO19" s="446"/>
      <c r="CP19" s="446"/>
      <c r="CQ19" s="446"/>
      <c r="CR19" s="446"/>
    </row>
    <row r="20" spans="1:96" s="408" customFormat="1" ht="25.5" hidden="1" customHeight="1" x14ac:dyDescent="0.25">
      <c r="A20" s="372">
        <f>+IF(OR(AL20=0,AL20=1),0,COUNTIF(AL$16:AL20,AL20))</f>
        <v>4</v>
      </c>
      <c r="B20" s="532" t="s">
        <v>1272</v>
      </c>
      <c r="C20" s="417" t="e">
        <f>+VLOOKUP(A20,'CÁLCULO CONDUCTORES DE MT'!$B$17:$BR$264,3,FALSE)</f>
        <v>#N/A</v>
      </c>
      <c r="D20" s="418" t="e">
        <f>+VLOOKUP(C20,'CÁLCULO CONDUCTORES DE MT'!$D$2:$CF$263,2,FALSE)</f>
        <v>#N/A</v>
      </c>
      <c r="E20" s="419" t="e">
        <f>+VLOOKUP(C20,'CÁLCULO CONDUCTORES DE MT'!$D$2:$CF$263,5,FALSE)</f>
        <v>#N/A</v>
      </c>
      <c r="F20" s="420" t="e">
        <f>+VLOOKUP(C20,'CÁLCULO CONDUCTORES DE MT'!$D$2:$CF$263,6,FALSE)</f>
        <v>#N/A</v>
      </c>
      <c r="G20" s="421" t="e">
        <f>+VLOOKUP(C20,'CÁLCULO CONDUCTORES DE MT'!$D$2:$CF$263,7,FALSE)</f>
        <v>#N/A</v>
      </c>
      <c r="H20" s="422" t="e">
        <f>+VLOOKUP(C20,'CÁLCULO CONDUCTORES DE MT'!$D$2:$CF$263,8,FALSE)</f>
        <v>#N/A</v>
      </c>
      <c r="I20" s="423" t="e">
        <f>+VLOOKUP(C20,'CÁLCULO CONDUCTORES DE MT'!$D$2:$CF$263,9,FALSE)</f>
        <v>#N/A</v>
      </c>
      <c r="J20" s="424" t="e">
        <f>+VLOOKUP(C20,'CÁLCULO CONDUCTORES DE MT'!$D$2:$CF$263,12,FALSE)</f>
        <v>#N/A</v>
      </c>
      <c r="K20" s="425" t="e">
        <f>+VLOOKUP(C20,'CÁLCULO CONDUCTORES DE MT'!$D$2:$CF$263,10,FALSE)</f>
        <v>#N/A</v>
      </c>
      <c r="L20" s="342" t="e">
        <f>+VLOOKUP(C20,'CÁLCULO CONDUCTORES DE MT'!$D$2:$CF$263,4,FALSE)</f>
        <v>#N/A</v>
      </c>
      <c r="M20" s="426" t="e">
        <f>+AH20</f>
        <v>#N/A</v>
      </c>
      <c r="N20" s="427" t="e">
        <f>+VLOOKUP(C20,'CÁLCULO CONDUCTORES DE MT'!$D$2:$CF$263,31,FALSE)</f>
        <v>#N/A</v>
      </c>
      <c r="O20" s="428" t="e">
        <f>IF(VLOOKUP(C20,'CÁLCULO CONDUCTORES DE MT'!$D$19:$AG$299,21,FALSE)="AÉREO","Al","Cu")</f>
        <v>#N/A</v>
      </c>
      <c r="P20" s="429"/>
      <c r="Q20" s="430" t="e">
        <f>IF(O20="Al","N/A",CK20)</f>
        <v>#N/A</v>
      </c>
      <c r="R20" s="430" t="e">
        <f>IF(O20="Al","N/A",CL20)</f>
        <v>#N/A</v>
      </c>
      <c r="S20" s="430" t="e">
        <f>IF(O20="Al","N/A",CM20)</f>
        <v>#N/A</v>
      </c>
      <c r="T20" s="431" t="e">
        <f>IF(O20="Al","N/A",AH20)</f>
        <v>#N/A</v>
      </c>
      <c r="U20" s="430" t="e">
        <f>IF(O20="Al","N/A",AW20)</f>
        <v>#N/A</v>
      </c>
      <c r="V20" s="431" t="e">
        <f>IF(O20="Al","N/A",AH20)</f>
        <v>#N/A</v>
      </c>
      <c r="W20" s="430" t="e">
        <f>IF(O20="Al","N/A",AY20)</f>
        <v>#N/A</v>
      </c>
      <c r="X20" s="432" t="e">
        <f>IF(O20="Al","N/A",IF(MIN(Q20:S20)=S20,"OPCIÓN TÉCNICA",IF(MIN(Q20:S20)=R20,"OPCIÓN 2","OPCIÓN 1")))</f>
        <v>#N/A</v>
      </c>
      <c r="Y20" s="392"/>
      <c r="AE20" s="392"/>
      <c r="AF20" s="392"/>
      <c r="AG20" s="392"/>
      <c r="AH20" s="343" t="e">
        <f>+VLOOKUP(C20,'CÁLCULO CONDUCTORES DE MT'!$D$2:$BE$263,32,FALSE)</f>
        <v>#N/A</v>
      </c>
      <c r="AI20" s="343" t="e">
        <f>+VLOOKUP(C20,'CÁLCULO CONDUCTORES DE MT'!$D$2:$BE$263,31,FALSE)</f>
        <v>#N/A</v>
      </c>
      <c r="AJ20" s="343" t="e">
        <f>+AH20</f>
        <v>#N/A</v>
      </c>
      <c r="AK20" s="343" t="e">
        <f>IF((VLOOKUP(C20,'CÁLCULO CONDUCTORES DE MT'!$D$2:$BE$263,47,FALSE))="No",LOOKUP((IF(VLOOKUP(C20,'CÁLCULO CONDUCTORES DE MT'!$D$2:$BE$263,15,FALSE)="VER NOTAS",15,VLOOKUP(C20,'CÁLCULO CONDUCTORES DE MT'!$D$2:$BE$263,15,FALSE))),CONDUCTORES!$A$111:$A$131,IF(VLOOKUP(C20,'CÁLCULO CONDUCTORES DE MT'!$D$2:$BE$263,35,FALSE)="Cu",CONDUCTORES!$B$111:$B$131,CONDUCTORES!$C$111:$C$131)),VLOOKUP(C20,'CÁLCULO CONDUCTORES DE MT'!$D$2:$BE$263,47,FALSE))</f>
        <v>#N/A</v>
      </c>
      <c r="AL20" s="340">
        <f>LEN(B20)-LEN(SUBSTITUTE(B20,IF(ISNUMBER(FIND(".",B20)),".",","),""))</f>
        <v>2</v>
      </c>
      <c r="AM20" s="341" t="e">
        <f>+VLOOKUP(C20,'CÁLCULO CONDUCTORES DE MT'!$D$2:$CF$263,33,FALSE)</f>
        <v>#N/A</v>
      </c>
      <c r="AN20" s="531" t="e">
        <f>IF(AM20="Monopolar","N/A",)</f>
        <v>#N/A</v>
      </c>
      <c r="AO20" s="433" t="e">
        <f>+VLOOKUP(C20,'CÁLCULO CONDUCTORES DE MT'!$D$2:$CF$263,58,FALSE)</f>
        <v>#N/A</v>
      </c>
      <c r="AP20" s="434" t="e">
        <f>(IF(AM20="Cable Armado",VLOOKUP(AO20,'CONDCUTORES MT'!$A$83:$F$86,5,TRUE),IF(AND(G20&gt;=1000,G20&lt;=4160),VLOOKUP(AO20,'CONDCUTORES MT'!$A$20:$E$28,5,TRUE),IF(AND(G20&gt;=4161,G20&lt;=13800),VLOOKUP(AO20,'CONDCUTORES MT'!$A$33:$E$41,5,TRUE),VLOOKUP(AO20,'CONDCUTORES MT'!$A$46:$E$54,5,TRUE)))))*(AH20)</f>
        <v>#N/A</v>
      </c>
      <c r="AQ20" s="435" t="e">
        <f>+(1000*((J20^2*BB20*$AJ$4*BD20*(1+$BL$4*($BJ$4-20)))/BE20)^0.5)</f>
        <v>#N/A</v>
      </c>
      <c r="AR20" s="434" t="e">
        <f>+IF(T20=1,"N/A",IF((AQ20/T20)&lt;CONDUCTORES!$F$9,CONDUCTORES!$F$9,IF((AQ20/T20)&lt;CONDUCTORES!$F$10,CONDUCTORES!$F$10,IF((AQ20/T20)&lt;CONDUCTORES!$F$11,CONDUCTORES!$F$11,IF((AQ20/T20)&lt;CONDUCTORES!$F$12,CONDUCTORES!$F$12,IF((AQ20/T20)&lt;CONDUCTORES!$F$13,CONDUCTORES!$F$13,IF((AQ20/T20)&lt;CONDUCTORES!$F$14,CONDUCTORES!$F$14,IF((AQ20/T20)&lt;CONDUCTORES!$F$15,CONDUCTORES!$F$15,IF((AQ20/T20)&lt;CONDUCTORES!$F$16,CONDUCTORES!$F$16,IF((AQ20/T20)&lt;CONDUCTORES!$F$17,CONDUCTORES!$F$17,IF((AQ20/T20)&lt;CONDUCTORES!$F$18,CONDUCTORES!$F$18,IF((AQ20/T20)&lt;CONDUCTORES!$F$19,CONDUCTORES!$F$19,IF((AQ20/T20)&lt;CONDUCTORES!$F$20,CONDUCTORES!$F$20,IF((AQ20/T20)&lt;CONDUCTORES!$F$21,CONDUCTORES!$F$21,IF((AQ20/T20)&lt;CONDUCTORES!$F$22,CONDUCTORES!$F$22,CONDUCTORES!$F$23)))))))))))))))</f>
        <v>#N/A</v>
      </c>
      <c r="AS20" s="1924" t="s">
        <v>1271</v>
      </c>
      <c r="AT20" s="1925"/>
      <c r="AU20" s="1926"/>
      <c r="AV20" s="436" t="e">
        <f>IF(AM20="Cable Armado",IF(AQ20&lt;'CONDCUTORES MT'!$E$83,'CONDCUTORES MT'!$E$83,IF(AQ20&lt;'CONDCUTORES MT'!$E$84,'CONDCUTORES MT'!$E$84,IF(AQ20&lt;'CONDCUTORES MT'!$E$85,'CONDCUTORES MT'!$E$85,'CONDCUTORES MT'!$E$86))),IF(AND(G20&gt;=1000,G20&lt;=4160),IF(AQ20&lt;'CONDCUTORES MT'!$E$20,'CONDCUTORES MT'!$E$20,IF(AQ20&lt;'CONDCUTORES MT'!$E$21,'CONDCUTORES MT'!$E$21,IF(AQ20&lt;'CONDCUTORES MT'!$E$22,'CONDCUTORES MT'!$E$22,IF(AQ20&lt;'CONDCUTORES MT'!$E$23,'CONDCUTORES MT'!$E$23,IF(AQ20&lt;'CONDCUTORES MT'!$E$24,'CONDCUTORES MT'!$E$24,IF(AQ20&lt;'CONDCUTORES MT'!$E$25,'CONDCUTORES MT'!$E$25,IF(AQ20&lt;'CONDCUTORES MT'!$E$26,'CONDCUTORES MT'!$E$26,IF(AQ20&lt;'CONDCUTORES MT'!$E$27,'CONDCUTORES MT'!$E$27,'CONDCUTORES MT'!$E$28)))))))),IF(AND(G20&gt;=4161,G20&lt;=13800),IF(AQ20&lt;'CONDCUTORES MT'!$E$33,'CONDCUTORES MT'!$E$33,IF(AQ20&lt;'CONDCUTORES MT'!$E$34,'CONDCUTORES MT'!$E$34,IF(AQ20&lt;'CONDCUTORES MT'!$E$35,'CONDCUTORES MT'!$E$35,IF(AQ20&lt;'CONDCUTORES MT'!$E$36,'CONDCUTORES MT'!$E$36,IF(AQ20&lt;'CONDCUTORES MT'!$E$37,'CONDCUTORES MT'!$E$37,IF(AQ20&lt;'CONDCUTORES MT'!$E$38,'CONDCUTORES MT'!$E$38,IF(AQ20&lt;'CONDCUTORES MT'!$E$39,'CONDCUTORES MT'!$E$39,IF(AQ20&lt;'CONDCUTORES MT'!$E$40,'CONDCUTORES MT'!$E$40,'CONDCUTORES MT'!$E$41)))))))),IF(AQ20&lt;'CONDCUTORES MT'!$E$46,'CONDCUTORES MT'!$E$46,IF(AQ20&lt;'CONDCUTORES MT'!$E$47,'CONDCUTORES MT'!$E$47,IF(AQ20&lt;'CONDCUTORES MT'!$E$48,'CONDCUTORES MT'!$E$48,IF(AQ20&lt;'CONDCUTORES MT'!$E$49,'CONDCUTORES MT'!$E$49,IF(AQ20&lt;'CONDCUTORES MT'!$E$50,'CONDCUTORES MT'!$E$50,IF(AQ20&lt;'CONDCUTORES MT'!$E$51,'CONDCUTORES MT'!$E$51,IF(AQ20&lt;'CONDCUTORES MT'!$E$52,'CONDCUTORES MT'!$E$52,IF(AQ20&lt;'CONDCUTORES MT'!$E$53,'CONDCUTORES MT'!$E$53,'CONDCUTORES MT'!$E$54)))))))))))</f>
        <v>#N/A</v>
      </c>
      <c r="AW20" s="437" t="e">
        <f>IF(AM20="Cable Armado",IF(AV20&lt;637.42,"1 AWG",VLOOKUP(AV20,'CONDCUTORES MT'!$E$83:$Y$86,15,FALSE)),IF(AND(G20&gt;=1000,G20&lt;=4160),IF(AV20&lt;390.57,"1/0 AWG",VLOOKUP(AV20,'CONDCUTORES MT'!$E$20:$Y$28,15,FALSE)),IF(AND(G20&gt;=4161,G20&lt;=13800),IF(AV20&lt;593.95,"1/0 AWG",VLOOKUP(AV20,'CONDCUTORES MT'!$E$33:$Y$41,15,FALSE)),IF(AV20&lt;1116.28,"1/0 AWG",VLOOKUP(AV20,'CONDCUTORES MT'!$E$46:$Y$54,15,FALSE)))))</f>
        <v>#N/A</v>
      </c>
      <c r="AX20" s="437" t="e">
        <f>IF(AM20="Cable Armado",VLOOKUP(AW20,'CONDCUTORES MT'!$B$83:$Q$86,16,FALSE),VLOOKUP(AW20,'CONDCUTORES MT'!$S$20:$V$28,4,FALSE))</f>
        <v>#N/A</v>
      </c>
      <c r="AY20" s="437" t="e">
        <f>IF(AM20="Cable Armado",VLOOKUP(AX20,'CONDCUTORES MT'!$A$83:$AA$86,26,TRUE),IF(AND(H20&gt;=1000,H20&lt;=4160),VLOOKUP(AW20,'CONDCUTORES MT'!$B$20:$AA$28,25,TRUE),IF(AND(H20&gt;=4161,H20&lt;=13800),VLOOKUP(AW20,'CONDCUTORES MT'!$B$33:$AA$41,25,TRUE),VLOOKUP(AW20,'CONDCUTORES MT'!$B$46:$AA$54,25,TRUE))))</f>
        <v>#N/A</v>
      </c>
      <c r="AZ20" s="437" t="e">
        <f>IF(AM20="Cable Armado",VLOOKUP(AY20,'CONDCUTORES MT'!$B$83:$Q$86,16,FALSE),VLOOKUP(AY20,'CONDCUTORES MT'!$S$20:$V$28,4,FALSE))</f>
        <v>#N/A</v>
      </c>
      <c r="BA20" s="438" t="e">
        <f>+J20</f>
        <v>#N/A</v>
      </c>
      <c r="BB20" s="502" t="e">
        <f>($H20*$BA$4*($AX$4*$BC$5+$AO$4)*($AQ$4/(1+($AV$4/1))))</f>
        <v>#N/A</v>
      </c>
      <c r="BC20" s="439">
        <f>+$AM$4</f>
        <v>1.8349999999999999E-8</v>
      </c>
      <c r="BD20" s="437" t="e">
        <f>+(1+BM20+BN20)*(1+BO20+BP20)</f>
        <v>#N/A</v>
      </c>
      <c r="BE20" s="440" t="e">
        <f>IF(AM20="Cable Armado",VLOOKUP(N20,COSTOS!$B$106:$I$109,6,FALSE),VLOOKUP(N20,COSTOS!$B$7:$G$21,6,FALSE))</f>
        <v>#N/A</v>
      </c>
      <c r="BF20" s="437" t="e">
        <f>((2.5)/(18*(LN((IF(AM20="Cable Armado",VLOOKUP(N20,'CONDCUTORES MT'!$B$83:$X$86,23,FALSE),VLOOKUP(N20,CONDUCTORES!$B$9:$AF$23,24,FALSE)))/(IF(AM20="Cable Armado",VLOOKUP(N20,'CONDCUTORES MT'!$B$83:$X$86,3,FALSE),VLOOKUP(N20,CONDUCTORES!$B$9:$D$23,3,FALSE)))))))*0.000000001</f>
        <v>#N/A</v>
      </c>
      <c r="BG20" s="437" t="e">
        <f>+(2*PI()*60)*(BF20)*(G20^2)*(0.001)</f>
        <v>#N/A</v>
      </c>
      <c r="BH20" s="437" t="e">
        <f>(0.12)*(5000)*(LN((IF(AM20="Cable Armado",VLOOKUP(N20,'CONDCUTORES MT'!$B$83:$X$86,23,FALSE),VLOOKUP(N20,CONDUCTORES!$B$9:$AF$23,24,FALSE)))/(IF(AM20="Cable Armado",VLOOKUP(N20,'CONDCUTORES MT'!$B$83:$X$86,3,FALSE),VLOOKUP(N20,CONDUCTORES!$B$9:$D$23,3,FALSE)))))</f>
        <v>#N/A</v>
      </c>
      <c r="BI20" s="437" t="e">
        <f>+($BE$3)-(((J20^2)*(IF(AM20="Cable Armado",VLOOKUP(N20,'CONDCUTORES MT'!$B$83:$I$86,5,FALSE),VLOOKUP(N20,CONDUCTORES!$B$9:$K$23,7,FALSE))))+(0.5*BG20))*(BH20)</f>
        <v>#N/A</v>
      </c>
      <c r="BJ20" s="441" t="e">
        <f>1+$BL$4*(BI20-20)</f>
        <v>#N/A</v>
      </c>
      <c r="BK20" s="437" t="e">
        <f>+SQRT(((8*PI()*60)/(IF(AM20="Cable Armado",VLOOKUP(N20,'CONDCUTORES MT'!$B$83:$I$86,5,FALSE),VLOOKUP(N20,CONDUCTORES!$B$9:$K$23,7,FALSE))))*(0.0000001)*(1))</f>
        <v>#N/A</v>
      </c>
      <c r="BL20" s="437" t="e">
        <f>+SQRT(((8*PI()*60)/(IF(AM20="Cable Armado",VLOOKUP(N20,'CONDCUTORES MT'!$B$83:$I$86,5,FALSE),VLOOKUP(N20,CONDUCTORES!$B$9:$K$23,7,FALSE))))*(0.0000001)*(1))</f>
        <v>#N/A</v>
      </c>
      <c r="BM20" s="442" t="e">
        <f>((BL20^4)/((192)+((0.8)*(BL20^4))))*(((IF(AM20="Cable Armado",VLOOKUP(N20,'CONDCUTORES MT'!$B$83:$I$86,5,FALSE),VLOOKUP(N20,CONDUCTORES!$B$9:$K$23,7,FALSE)))/(1))^2)*(2.9)</f>
        <v>#N/A</v>
      </c>
      <c r="BN20" s="442" t="e">
        <f>+(BK20^4)/((192)+((0.8)*(BK20^4)))</f>
        <v>#N/A</v>
      </c>
      <c r="BO20" s="437" t="e">
        <f>+((BJ20)/(-BH20))*(1/(1+((BJ20)/(52.9))))</f>
        <v>#N/A</v>
      </c>
      <c r="BP20" s="437">
        <v>2</v>
      </c>
      <c r="BQ20" s="434" t="e">
        <f>IF(AM20="Cable Armado",VLOOKUP(AX20,'CONDCUTORES MT'!$A$83:$E$86,5,FALSE),IF(AND(G20&gt;=1000,G20&lt;=4160),VLOOKUP(AX20,'CONDCUTORES MT'!$A$20:$E$28,5,TRUE),IF(AND(G20&gt;=4161,G20&lt;=13800),VLOOKUP(AX20,'CONDCUTORES MT'!$A$33:$E$41,5,TRUE),VLOOKUP(AX20,'CONDCUTORES MT'!$A$46:$E$54,5,TRUE))))</f>
        <v>#N/A</v>
      </c>
      <c r="BR20" s="434" t="e">
        <f>IF(AM20="Cable Armado",VLOOKUP(AZ20,'CONDCUTORES MT'!$A$83:$E$86,5,FALSE),IF(AND(G20&gt;=1000,G20&lt;=4160),VLOOKUP(AZ20,'CONDCUTORES MT'!$A$20:$E$28,5,TRUE),IF(AND(G20&gt;=4161,G20&lt;=13800),VLOOKUP(AZ20,'CONDCUTORES MT'!$A$33:$E$41,5,TRUE),VLOOKUP(AZ20,'CONDCUTORES MT'!$A$46:$E$54,5,TRUE))))</f>
        <v>#N/A</v>
      </c>
      <c r="BS20" s="443" t="e">
        <f>+(BC20*BD20*(1+$BL$4*($BJ$4-20))/(BQ20))*10^6</f>
        <v>#N/A</v>
      </c>
      <c r="BT20" s="443" t="e">
        <f>+(BC20*BD20*(1+$BL$4*($BJ$4-20))/(BR20))*10^6</f>
        <v>#N/A</v>
      </c>
      <c r="BU20" s="443" t="e">
        <f>+(BC20*BD20*(1+$BL$4*($BJ$4-20))/(AP20))*10^6</f>
        <v>#N/A</v>
      </c>
      <c r="BV20" s="444" t="e">
        <f>(L20)*((J20)^2)*(BS20)*(BB20)</f>
        <v>#N/A</v>
      </c>
      <c r="BW20" s="444" t="e">
        <f>(L20)*((J20)^2)*(BT20)*(BB20)</f>
        <v>#N/A</v>
      </c>
      <c r="BX20" s="444" t="e">
        <f>(L20)*((J20)^2)*(BU20)*(BB20)</f>
        <v>#N/A</v>
      </c>
      <c r="BY20" s="444" t="e">
        <f>IF(AND(G20&gt;=1000,G20&lt;=4160),VLOOKUP(AX20,IF(AM20="Cable Armado",COSTOS!$A$106:$G$109,COSTOS!$A$67:$I$75),4,FALSE),IF(AND(G20&gt;=4161,G20&lt;=13800),VLOOKUP(AX20,IF(AM20="Cable Armado",COSTOS!$A$106:$G$109,COSTOS!$A$80:$I$88),4,FALSE),VLOOKUP(AX20,IF(AM20="Cable Armado",COSTOS!$A$106:$G$109,COSTOS!$A$93:$I$101),4,FALSE)))</f>
        <v>#N/A</v>
      </c>
      <c r="BZ20" s="444" t="e">
        <f>IF(AND(G20&gt;=1000,G20&lt;=4160),VLOOKUP(AX20,IF(AM20="Cable Armado",COSTOS!$A$106:$G$109,COSTOS!$A$67:$I$75),5,FALSE),IF(AND(G20&gt;=4161,G20&lt;=13800),VLOOKUP(AX20,IF(AM20="Cable Armado",COSTOS!$A$106:$G$109,COSTOS!$A$80:$I$88),5,FALSE),VLOOKUP(AX20,IF(AM20="Cable Armado",COSTOS!$A$106:$G$109,COSTOS!$A$93:$I$101),5,FALSE)))</f>
        <v>#N/A</v>
      </c>
      <c r="CA20" s="444" t="e">
        <f>+BY20+BZ20</f>
        <v>#N/A</v>
      </c>
      <c r="CB20" s="444" t="e">
        <f>+CA20*L20*(IF(AM20="Monopolar",T20*H20,T20*AH20))</f>
        <v>#N/A</v>
      </c>
      <c r="CC20" s="444" t="e">
        <f>IF(AND(G20&gt;=1000,G20&lt;=4160),VLOOKUP(AZ20,IF(AM20="Cable Armado",COSTOS!$A$106:$G$109,COSTOS!$A$67:$I$75),4,FALSE),IF(AND(G20&gt;=4161,G20&lt;=13800),VLOOKUP(AZ20,IF(AM20="Cable Armado",COSTOS!$A$106:$G$109,COSTOS!$A$80:$I$88),4,FALSE),VLOOKUP(AZ20,IF(AM20="Cable Armado",COSTOS!$A$106:$G$109,COSTOS!$A$93:$I$101),4,FALSE)))</f>
        <v>#N/A</v>
      </c>
      <c r="CD20" s="444" t="e">
        <f>IF(AND(G20&gt;=1000,G20&lt;=4160),VLOOKUP(AZ20,IF(AM20="Cable Armado",COSTOS!$A$106:$G$109,COSTOS!$A$67:$I$75),5,FALSE),IF(AND(G20&gt;=4161,G20&lt;=13800),VLOOKUP(AZ20,IF(AM20="Cable Armado",COSTOS!$A$106:$G$109,COSTOS!$A$80:$I$88),5,FALSE),VLOOKUP(AZ20,IF(AM20="Cable Armado",COSTOS!$A$106:$G$109,COSTOS!$A$93:$I$101),5,FALSE)))</f>
        <v>#N/A</v>
      </c>
      <c r="CE20" s="444" t="e">
        <f>+CC20+CD20</f>
        <v>#N/A</v>
      </c>
      <c r="CF20" s="444" t="e">
        <f>+CE20*L20*(IF(AM20="Monopolar",T20*H20,T20*AH20))</f>
        <v>#N/A</v>
      </c>
      <c r="CG20" s="444" t="e">
        <f>IF(AND(G20&gt;=1000,G20&lt;=4160),VLOOKUP(AO20,IF(AM20="Cable Armado",COSTOS!$A$106:$G$109,COSTOS!$A$67:$I$75),4,FALSE),IF(AND(G20&gt;=4161,G20&lt;=13800),VLOOKUP(AO20,IF(AM20="Cable Armado",COSTOS!$A$106:$G$109,COSTOS!$A$80:$I$88),4,FALSE),VLOOKUP(AO20,IF(AM20="Cable Armado",COSTOS!$A$106:$G$109,COSTOS!$A$93:$I$101),4,FALSE)))</f>
        <v>#N/A</v>
      </c>
      <c r="CH20" s="444" t="e">
        <f>IF(AND(G20&gt;=1000,G20&lt;=4160),VLOOKUP(AO20,IF(AM20="Cable Armado",COSTOS!$A$106:$G$109,COSTOS!$A$67:$I$75),5,FALSE),IF(AND(G20&gt;=4161,G20&lt;=13800),VLOOKUP(AO20,IF(AM20="Cable Armado",COSTOS!$A$106:$G$109,COSTOS!$A$80:$I$88),5,FALSE),VLOOKUP(AO20,IF(AM20="Cable Armado",COSTOS!$A$106:$G$109,COSTOS!$A$93:$I$101),5,FALSE)))</f>
        <v>#N/A</v>
      </c>
      <c r="CI20" s="444" t="e">
        <f>+CG20+CH20</f>
        <v>#N/A</v>
      </c>
      <c r="CJ20" s="444" t="e">
        <f>+CI20*L20*(IF(AM20="Monopolar",M20*H20,M20*AH20))</f>
        <v>#N/A</v>
      </c>
      <c r="CK20" s="444" t="e">
        <f>(CB20)+(BV20)</f>
        <v>#N/A</v>
      </c>
      <c r="CL20" s="444" t="e">
        <f>(CF20)+(BW20)</f>
        <v>#N/A</v>
      </c>
      <c r="CM20" s="444" t="e">
        <f>(CJ20)+(BX20)</f>
        <v>#N/A</v>
      </c>
      <c r="CN20" s="445" t="e">
        <f>IF(VLOOKUP(C20,'CÁLCULO CONDUCTORES DE MT'!$D$19:$AG$299,21,FALSE)="AÉREO","SI","NO")</f>
        <v>#N/A</v>
      </c>
      <c r="CO20" s="446"/>
      <c r="CP20" s="446"/>
      <c r="CQ20" s="446"/>
      <c r="CR20" s="446"/>
    </row>
    <row r="21" spans="1:96" ht="18.75" customHeight="1" x14ac:dyDescent="0.25">
      <c r="B21" s="368">
        <v>15.2</v>
      </c>
      <c r="C21" s="1951" t="s">
        <v>1092</v>
      </c>
      <c r="D21" s="1951"/>
      <c r="E21" s="1951"/>
      <c r="F21" s="1951"/>
      <c r="G21" s="1951"/>
      <c r="H21" s="1951"/>
      <c r="I21" s="1951"/>
      <c r="J21" s="1951"/>
      <c r="K21" s="1951"/>
      <c r="L21" s="1951"/>
      <c r="M21" s="1951"/>
      <c r="N21" s="1951"/>
      <c r="O21" s="1951"/>
      <c r="P21" s="1951"/>
      <c r="Q21" s="1951"/>
      <c r="R21" s="1951"/>
      <c r="S21" s="1951"/>
      <c r="T21" s="1951"/>
      <c r="U21" s="1951"/>
      <c r="V21" s="1951"/>
      <c r="W21" s="1951"/>
      <c r="X21" s="1951"/>
      <c r="Y21" s="392"/>
      <c r="Z21" s="392"/>
      <c r="AA21" s="392"/>
      <c r="AB21" s="392"/>
      <c r="AC21" s="392"/>
      <c r="AD21" s="392"/>
      <c r="AE21" s="392"/>
      <c r="AF21" s="392"/>
      <c r="AG21" s="392"/>
      <c r="AH21" s="380"/>
      <c r="AI21" s="380"/>
      <c r="AJ21" s="380"/>
      <c r="AK21" s="380"/>
      <c r="AL21" s="360"/>
      <c r="AM21" s="380"/>
      <c r="AN21" s="380"/>
      <c r="AO21" s="409"/>
      <c r="AP21" s="409"/>
      <c r="AQ21" s="409"/>
      <c r="AR21" s="409"/>
      <c r="AS21" s="409"/>
      <c r="AT21" s="409"/>
      <c r="AU21" s="409"/>
      <c r="AV21" s="409"/>
      <c r="AW21" s="409"/>
      <c r="AX21" s="409"/>
      <c r="AY21" s="409"/>
      <c r="AZ21" s="409"/>
      <c r="BA21" s="447"/>
      <c r="BB21" s="409"/>
      <c r="BC21" s="448"/>
      <c r="BD21" s="409"/>
      <c r="BF21" s="409"/>
      <c r="BG21" s="409"/>
      <c r="BH21" s="409"/>
      <c r="BI21" s="409"/>
      <c r="BJ21" s="449"/>
      <c r="BK21" s="409"/>
      <c r="BL21" s="409"/>
      <c r="BM21" s="450"/>
      <c r="BN21" s="450"/>
      <c r="BO21" s="451"/>
      <c r="BP21" s="409"/>
      <c r="BQ21" s="409"/>
      <c r="BR21" s="409"/>
      <c r="BS21" s="452"/>
      <c r="BT21" s="453"/>
      <c r="BU21" s="409"/>
      <c r="BV21" s="454"/>
      <c r="BW21" s="455"/>
      <c r="BX21" s="347"/>
      <c r="BY21" s="455"/>
      <c r="BZ21" s="409"/>
      <c r="CA21" s="455"/>
      <c r="CB21" s="455"/>
      <c r="CC21" s="456"/>
      <c r="CD21" s="456"/>
      <c r="CE21" s="457"/>
      <c r="CF21" s="457"/>
      <c r="CG21" s="457"/>
      <c r="CH21" s="457"/>
      <c r="CI21" s="458"/>
      <c r="CJ21" s="458"/>
      <c r="CK21" s="459"/>
      <c r="CL21" s="459"/>
      <c r="CM21" s="459"/>
      <c r="CN21" s="460"/>
      <c r="CO21" s="416"/>
      <c r="CP21" s="416"/>
      <c r="CQ21" s="416"/>
      <c r="CR21" s="416"/>
    </row>
    <row r="22" spans="1:96" s="408" customFormat="1" ht="25.5" customHeight="1" x14ac:dyDescent="0.25">
      <c r="A22" s="372">
        <f>+IF(OR(AL22=0,AL22=1),0,COUNTIF(AL$21:AL22,AL22))</f>
        <v>1</v>
      </c>
      <c r="B22" s="532" t="s">
        <v>1273</v>
      </c>
      <c r="C22" s="417" t="str">
        <f>+VLOOKUP(A22,'H2-CONDUCTORES DE BT'!$B$15:$CE$149,3,FALSE)</f>
        <v>TBT08</v>
      </c>
      <c r="D22" s="418" t="str">
        <f>+VLOOKUP(C22,'H2-CONDUCTORES DE BT'!$D$2:$BL$155,2,FALSE)</f>
        <v>TABLERO BAJA TENSIÓN (EXISTENTE)</v>
      </c>
      <c r="E22" s="419">
        <f>+VLOOKUP(C22,'H2-CONDUCTORES DE BT'!$D$2:$BL$155,6,FALSE)</f>
        <v>225</v>
      </c>
      <c r="F22" s="420" t="str">
        <f>+VLOOKUP(C22,'H2-CONDUCTORES DE BT'!$D$2:$BL$155,7,FALSE)</f>
        <v>kVA</v>
      </c>
      <c r="G22" s="421">
        <f>+VLOOKUP(C22,'H2-CONDUCTORES DE BT'!$D$2:$BL$155,8,FALSE)</f>
        <v>480</v>
      </c>
      <c r="H22" s="422">
        <f>+VLOOKUP(C22,'H2-CONDUCTORES DE BT'!$D$2:$BL$155,9,FALSE)</f>
        <v>3</v>
      </c>
      <c r="I22" s="423">
        <f>+VLOOKUP(C22,'H2-CONDUCTORES DE BT'!$D$2:$BL$155,10,FALSE)</f>
        <v>0.80830156595608427</v>
      </c>
      <c r="J22" s="461">
        <f>+VLOOKUP(C22,'H2-CONDUCTORES DE BT'!$D$2:$BL$155,28,FALSE)</f>
        <v>410</v>
      </c>
      <c r="K22" s="425">
        <f>+VLOOKUP(C22,'H2-CONDUCTORES DE BT'!$D$2:$BL$155,11,FALSE)</f>
        <v>0.98</v>
      </c>
      <c r="L22" s="342">
        <f>+VLOOKUP(C22,'H2-CONDUCTORES DE BT'!$D$2:$BL$155,4,FALSE)</f>
        <v>13</v>
      </c>
      <c r="M22" s="426">
        <f t="shared" ref="M22:M29" si="0">+AH22</f>
        <v>2</v>
      </c>
      <c r="N22" s="427" t="str">
        <f>IF(VLOOKUP(C22,'H2-CONDUCTORES DE BT'!$D$2:$BL$155,40,FALSE)="Cu",VLOOKUP(C22,'H2-CONDUCTORES DE BT'!$D$2:$BL$155,36,FALSE),VLOOKUP(C22,'H2-CONDUCTORES DE BT'!$D$2:$BL$155,55,FALSE))</f>
        <v>4/0 AWG</v>
      </c>
      <c r="O22" s="428" t="str">
        <f>IF(VLOOKUP(C22,'H2-CONDUCTORES DE BT'!$D$15:$BH$499,23,FALSE)="AÉREO","Al","Cu")</f>
        <v>Cu</v>
      </c>
      <c r="P22" s="429"/>
      <c r="Q22" s="430">
        <f>IF(O22="Al",VLOOKUP(C22,'PÉRDIDAS ECONO Al'!$D$15:$Y$507,15,FALSE),CK22)</f>
        <v>13567217.909408547</v>
      </c>
      <c r="R22" s="430">
        <f>IF(O22="Al",VLOOKUP(C22,'PÉRDIDAS ECONO Al'!$D$15:$Y$507,16,FALSE),CL22)</f>
        <v>15828651.66688369</v>
      </c>
      <c r="S22" s="430">
        <f>IF(O22="Al",VLOOKUP(C22,'PÉRDIDAS ECONO Al'!$D$15:$Y$507,17,FALSE),CM22)</f>
        <v>10416628.607330745</v>
      </c>
      <c r="T22" s="462">
        <f>IF(O22="Al",VLOOKUP(C22,'PÉRDIDAS ECONO Al'!$D$15:$Y$507,18,FALSE),IF(AM22="Monopolar",ROUNDUP((AQ22/450.3),0),ROUNDUP((AQ22/456.17),0)))</f>
        <v>2</v>
      </c>
      <c r="U22" s="430" t="str">
        <f>IF(O22="Al",VLOOKUP(C22,'PÉRDIDAS ECONO Al'!$D$15:$Y$507,19,FALSE),AW22)</f>
        <v>250 kcmil</v>
      </c>
      <c r="V22" s="463">
        <f>IF(O22="Al",VLOOKUP(C22,'PÉRDIDAS ECONO Al'!$D$15:$Y$507,20,FALSE),IF(AM22="Monopolar",ROUNDUP((AQ22/450.3),0),ROUNDUP((AQ22/456.17),0)))</f>
        <v>2</v>
      </c>
      <c r="W22" s="430" t="str">
        <f>IF(O22="Al",VLOOKUP(C22,'PÉRDIDAS ECONO Al'!$D$15:$Y$507,21,FALSE),AY22)</f>
        <v>350 kcmil</v>
      </c>
      <c r="X22" s="432" t="str">
        <f>IF(O22="Al",VLOOKUP(C22,'PÉRDIDAS ECONO Al'!$D$15:$Y$507,22,FALSE),IF(MIN(Q22:S22)=S22,"OPCIÓN TÉCNICA",IF(MIN(Q22:S22)=R22,"OPCIÓN 2","OPCIÓN 1")))</f>
        <v>OPCIÓN TÉCNICA</v>
      </c>
      <c r="Y22" s="392"/>
      <c r="Z22" s="392"/>
      <c r="AA22" s="392"/>
      <c r="AB22" s="392"/>
      <c r="AC22" s="392"/>
      <c r="AD22" s="392"/>
      <c r="AE22" s="392"/>
      <c r="AF22" s="392"/>
      <c r="AG22" s="392"/>
      <c r="AH22" s="343">
        <f>+VLOOKUP(C22,'H2-CONDUCTORES DE BT'!$D$2:$BL$155,37,FALSE)</f>
        <v>2</v>
      </c>
      <c r="AI22" s="343" t="str">
        <f>+VLOOKUP(C22,'H2-CONDUCTORES DE BT'!$D$2:$BL$155,36,FALSE)</f>
        <v>4/0 AWG</v>
      </c>
      <c r="AJ22" s="343">
        <f>IF(AM22="Multiconductor","N/A",IF(VLOOKUP(C22,'H2-CONDUCTORES DE BT'!$D$2:$BL$155,50,FALSE)&lt;&gt;1,VLOOKUP(C22,'H2-CONDUCTORES DE BT'!$D$2:$BL$155,50,FALSE),IF(VLOOKUP(C22,'H2-CONDUCTORES DE BT'!$D$2:$BL$155,23,FALSE)="BANDEJA",1,IF(VLOOKUP(C22,'H2-CONDUCTORES DE BT'!$D$2:$BL$155,24,FALSE)&lt;&gt;3,IF(((VLOOKUP(C22,'H2-CONDUCTORES DE BT'!$D$2:$BL$155,24,FALSE))/3)=AH22,1),VLOOKUP(C22,'H2-CONDUCTORES DE BT'!$D$2:$BL$155,37,FALSE)))))</f>
        <v>2</v>
      </c>
      <c r="AK22" s="343" t="str">
        <f>IF(AM22="Multiconductor","N/A",(IF((VLOOKUP(C22,'H2-CONDUCTORES DE BT'!$D$2:$BL$155,40,FALSE))="Al",IF((VLOOKUP(C22,'H2-CONDUCTORES DE BT'!$D$2:$BL$155,51,FALSE))="No",LOOKUP((VLOOKUP(C22,'H2-CONDUCTORES DE BT'!$D$2:$BL$155,16,FALSE)),CONDUCTORES!$A$111:$A$131,CONDUCTORES!$C$111:$C$131),(VLOOKUP(C22,'H2-CONDUCTORES DE BT'!$D$2:$BL$155,51,FALSE))),IF((VLOOKUP(C22,'H2-CONDUCTORES DE BT'!$D$2:$BL$155,51,FALSE))="No",LOOKUP((VLOOKUP(C22,'H2-CONDUCTORES DE BT'!$D$2:$BL$155,16,FALSE)),CONDUCTORES!$A$111:$A$131,CONDUCTORES!$B$111:$B$131),(VLOOKUP(C22,'H2-CONDUCTORES DE BT'!$D$2:$BL$155,51,FALSE))))))</f>
        <v>1/0 AWG</v>
      </c>
      <c r="AL22" s="340">
        <f t="shared" ref="AL22:AL29" si="1">LEN(B22)-LEN(SUBSTITUTE(B22,IF(ISNUMBER(FIND(".",B22)),".",","),""))</f>
        <v>2</v>
      </c>
      <c r="AM22" s="464" t="str">
        <f>+VLOOKUP(C22,'H2-CONDUCTORES DE BT'!$D$2:$BL$155,38,FALSE)</f>
        <v>Monopolar</v>
      </c>
      <c r="AN22" s="531" t="str">
        <f>IF(AM22="Monopolar","N/A",VLOOKUP(C22,'H2-CONDUCTORES DE BT'!$D$2:$BL$192,39,FALSE))</f>
        <v>N/A</v>
      </c>
      <c r="AO22" s="437">
        <f>+VLOOKUP(C22,'H2-CONDUCTORES DE BT'!$D$2:$CL$492,70,FALSE)</f>
        <v>10</v>
      </c>
      <c r="AP22" s="434">
        <f>(VLOOKUP(AO22,CONDUCTORES!$A$9:$G$62,6,FALSE))*(AH22)</f>
        <v>412.6</v>
      </c>
      <c r="AQ22" s="434">
        <f t="shared" ref="AQ22:AQ29" si="2">1000*((((J22^2)*BB22*BC22*BD22*(1+($BL$4*($BJ$4-20))))/BE22)^0.5)</f>
        <v>490.82287689680561</v>
      </c>
      <c r="AR22" s="434">
        <f>+IF(T22=1,"N/A",IF((AQ22/T22)&lt;CONDUCTORES!$F$9,CONDUCTORES!$F$9,IF((AQ22/T22)&lt;CONDUCTORES!$F$10,CONDUCTORES!$F$10,IF((AQ22/T22)&lt;CONDUCTORES!$F$11,CONDUCTORES!$F$11,IF((AQ22/T22)&lt;CONDUCTORES!$F$12,CONDUCTORES!$F$12,IF((AQ22/T22)&lt;CONDUCTORES!$F$13,CONDUCTORES!$F$13,IF((AQ22/T22)&lt;CONDUCTORES!$F$14,CONDUCTORES!$F$14,IF((AQ22/T22)&lt;CONDUCTORES!$F$15,CONDUCTORES!$F$15,IF((AQ22/T22)&lt;CONDUCTORES!$F$16,CONDUCTORES!$F$16,IF((AQ22/T22)&lt;CONDUCTORES!$F$17,CONDUCTORES!$F$17,IF((AQ22/T22)&lt;CONDUCTORES!$F$18,CONDUCTORES!$F$18,IF((AQ22/T22)&lt;CONDUCTORES!$F$19,CONDUCTORES!$F$19,IF((AQ22/T22)&lt;CONDUCTORES!$F$20,CONDUCTORES!$F$20,IF((AQ22/T22)&lt;CONDUCTORES!$F$21,CONDUCTORES!$F$21,IF((AQ22/T22)&lt;CONDUCTORES!$F$22,CONDUCTORES!$F$22,CONDUCTORES!$F$23)))))))))))))))</f>
        <v>251.9</v>
      </c>
      <c r="AS22" s="435">
        <f>IF(AN22="2/C  -",IF(AQ22&lt;CONDUCTORES!$F$24,CONDUCTORES!$F$24,IF(AQ22&lt;CONDUCTORES!$F$27,CONDUCTORES!$F$27,IF(AQ22&lt;CONDUCTORES!$F$30,CONDUCTORES!$F$30,IF(AQ22&lt;CONDUCTORES!$F$33,CONDUCTORES!$F$33,IF(AQ22&lt;CONDUCTORES!$F$36,CONDUCTORES!$F$36,IF(AQ22&lt;CONDUCTORES!$F$39,CONDUCTORES!$F$39,IF(AQ22&lt;CONDUCTORES!$F$42,CONDUCTORES!$F$42,IF(AQ22&lt;CONDUCTORES!$F$45,CONDUCTORES!$F$45,IF(AQ22&lt;CONDUCTORES!$F$48,CONDUCTORES!$F$48,IF(AQ22&lt;CONDUCTORES!$F$51,CONDUCTORES!$F$51,IF(AQ22&lt;CONDUCTORES!$F$54,CONDUCTORES!$F$54,IF(AQ22&lt;CONDUCTORES!$F$57,CONDUCTORES!$F$57,CONDUCTORES!$F$60)))))))))))),0)</f>
        <v>0</v>
      </c>
      <c r="AT22" s="435">
        <f>IF(AN22="3/C  -",IF(AQ22&lt;CONDUCTORES!$F$25,CONDUCTORES!$F$25,IF(AQ22&lt;CONDUCTORES!$F$28,CONDUCTORES!$F$28,IF(AQ22&lt;CONDUCTORES!$F$31,CONDUCTORES!$F$31,IF(AQ22&lt;CONDUCTORES!$F$34,CONDUCTORES!$F$34,IF(AQ22&lt;CONDUCTORES!$F$37,CONDUCTORES!$F$37,IF(AQ22&lt;CONDUCTORES!$F$40,CONDUCTORES!$F$40,IF(AQ22&lt;CONDUCTORES!$F$43,CONDUCTORES!$F$43,IF(AQ22&lt;CONDUCTORES!$F$46,CONDUCTORES!$F$46,IF(AQ22&lt;CONDUCTORES!$F$49,CONDUCTORES!$F$49,IF(AQ22&lt;CONDUCTORES!$F$52,CONDUCTORES!$F$52,IF(AQ22&lt;CONDUCTORES!$F$55,CONDUCTORES!$F$55,IF(AQ22&lt;CONDUCTORES!$F$58,CONDUCTORES!$F$58,CONDUCTORES!$F$61)))))))))))),0)</f>
        <v>0</v>
      </c>
      <c r="AU22" s="435">
        <f>IF(AN22="4/C  -",IF(AQ22&lt;CONDUCTORES!$F$26,CONDUCTORES!$F$26,IF(AQ22&lt;CONDUCTORES!$F$29,CONDUCTORES!$F$29,IF(AQ22&lt;CONDUCTORES!$F$32,CONDUCTORES!$F$32,IF(AQ22&lt;CONDUCTORES!$F$35,CONDUCTORES!$F$35,IF(AQ22&lt;CONDUCTORES!$F$38,CONDUCTORES!$F$38,IF(AQ22&lt;CONDUCTORES!$F$41,CONDUCTORES!$F$41,IF(AQ22&lt;CONDUCTORES!$F$44,CONDUCTORES!$F$44,IF(AQ22&lt;CONDUCTORES!$F$47,CONDUCTORES!$F$47,IF(AQ22&lt;CONDUCTORES!$F$50,CONDUCTORES!$F$50,IF(AQ22&lt;CONDUCTORES!$F$53,CONDUCTORES!$F$53,IF(AQ22&lt;CONDUCTORES!$F$56,CONDUCTORES!$F$56,IF(AQ22&lt;CONDUCTORES!$F$59,CONDUCTORES!$F$59,CONDUCTORES!$F$62)))))))))))),0)</f>
        <v>0</v>
      </c>
      <c r="AV22" s="436">
        <f>IF(AM22="Multiconductor",IF(AN22="2/C  -",AS22,IF(AN22="3/C  -",AT22,IF(AN22="4/C  -",AU22,"NO SE CÁLCULO, REVISAR"))),IF(AQ22&lt;CONDUCTORES!$F$9,CONDUCTORES!$F$9,IF(AQ22&lt;CONDUCTORES!$F$10,CONDUCTORES!$F$10,IF(AQ22&lt;CONDUCTORES!$F$11,CONDUCTORES!$F$11,IF(AQ22&lt;CONDUCTORES!$F$12,CONDUCTORES!$F$12,IF(AQ22&lt;CONDUCTORES!$F$13,CONDUCTORES!$F$13,IF(AQ22&lt;CONDUCTORES!$F$14,CONDUCTORES!$F$14,IF(AQ22&lt;CONDUCTORES!$F$15,CONDUCTORES!$F$15,IF(AQ22&lt;CONDUCTORES!$F$16,CONDUCTORES!$F$16,IF(AQ22&lt;CONDUCTORES!$F$17,CONDUCTORES!$F$17,IF(AQ22&lt;CONDUCTORES!$F$18,CONDUCTORES!$F$18,IF(AQ22&lt;CONDUCTORES!$F$19,CONDUCTORES!$F$19,IF(AQ22&lt;CONDUCTORES!$F$20,CONDUCTORES!$F$20,IF(AQ22&lt;CONDUCTORES!$F$21,CONDUCTORES!$F$21,IF(AQ22&lt;CONDUCTORES!$F$22,CONDUCTORES!$F$22,CONDUCTORES!$F$23)))))))))))))))</f>
        <v>679.5</v>
      </c>
      <c r="AW22" s="437" t="str">
        <f>IF(AM22="Multiconductor",VLOOKUP(IF(T22=1,AV22,AR22),CONDUCTORES!$F$24:$AG$62,23,FALSE),VLOOKUP(IF(T22=1,AV22,AR22),CONDUCTORES!$F$9:$AF$23,23,FALSE))</f>
        <v>250 kcmil</v>
      </c>
      <c r="AX22" s="437">
        <f>IF(AM22="Multiconductor",VLOOKUP(AV22,CONDUCTORES!$F$24:$AG$62,19,FALSE),VLOOKUP(AW22,CONDUCTORES!$B$9:$X$23,23,FALSE))</f>
        <v>11</v>
      </c>
      <c r="AY22" s="437" t="str">
        <f>+VLOOKUP(AW22,CONDUCTORES!$B$9:$BB$23,32,FALSE)</f>
        <v>350 kcmil</v>
      </c>
      <c r="AZ22" s="437">
        <f>IF(AM22="Multiconductor",AX22+3,VLOOKUP(AY22,CONDUCTORES!$B$9:$X$23,23,FALSE))</f>
        <v>12</v>
      </c>
      <c r="BA22" s="438">
        <f t="shared" ref="BA22:BA29" si="3">+J22</f>
        <v>410</v>
      </c>
      <c r="BB22" s="502">
        <f>($H22*$BA$4*($AX$4*$BC$5+$AO$4)*($AQ$4/(1+($AV$4/1))))</f>
        <v>22691.960428119746</v>
      </c>
      <c r="BC22" s="439">
        <f t="shared" ref="BC22:BC29" si="4">+$AM$4</f>
        <v>1.8349999999999999E-8</v>
      </c>
      <c r="BD22" s="437">
        <f t="shared" ref="BD22:BD29" si="5">+(1+BM22+BN22)*(1+BO22+BP22)</f>
        <v>1.0346127379701195</v>
      </c>
      <c r="BE22" s="440">
        <f>VLOOKUP(AO22,COSTOS!$A$7:$Z$94,7,FALSE)</f>
        <v>339.68977217644203</v>
      </c>
      <c r="BF22" s="437">
        <f>((2.5)/(18*LN((VLOOKUP(N22,CONDUCTORES!$B$9:$AF$23,24,FALSE))/(VLOOKUP(N22,CONDUCTORES!$B$9:$D$23,3,FALSE)))))*-0.000000001</f>
        <v>5.4538704635077959E-11</v>
      </c>
      <c r="BG22" s="437">
        <f t="shared" ref="BG22:BG29" si="6">+(2*PI()*60)*(BF22)*(G22^2)*(0.001)</f>
        <v>4.7371639122763179E-6</v>
      </c>
      <c r="BH22" s="437">
        <f>(0.12)*(5000)*(LN((VLOOKUP(N22,CONDUCTORES!$B$9:$AF$23,24,FALSE))/(VLOOKUP(N22,CONDUCTORES!$B$9:$D$23,3,FALSE))))</f>
        <v>-1527.966861166251</v>
      </c>
      <c r="BI22" s="437">
        <f>+($BE$3)-(((J22^2)*(VLOOKUP(N22,CONDUCTORES!$B$9:$K$23,7,FALSE)))+(0.5*BG22))*(BH22)</f>
        <v>55661596.89256987</v>
      </c>
      <c r="BJ22" s="441">
        <f t="shared" ref="BJ22:BJ29" si="7">1+$BL$4*(BI22-20)</f>
        <v>217081.14988102249</v>
      </c>
      <c r="BK22" s="437">
        <f>+SQRT(((8*PI()*60)/(VLOOKUP(N22,CONDUCTORES!$B$9:$K$23,7,FALSE)))*(0.0000001)*(1))</f>
        <v>2.6379034727945793E-2</v>
      </c>
      <c r="BL22" s="437">
        <f>+SQRT(((8*PI()*60)/(VLOOKUP(N22,CONDUCTORES!$B$9:$K$23,7,FALSE)))*(0.0000001)*(1))</f>
        <v>2.6379034727945793E-2</v>
      </c>
      <c r="BM22" s="442">
        <f>((BL22^4)/((192)+((0.8)*(BL22^4))))*(((VLOOKUP(N22,CONDUCTORES!$B$9:$K$23,7,FALSE))/(1))^2)*(2.9)</f>
        <v>3.4346223246495741E-10</v>
      </c>
      <c r="BN22" s="442">
        <f t="shared" ref="BN22:BN29" si="8">+(BK22^4)/((192)+((0.8)*(BK22^4)))</f>
        <v>2.5219377872770847E-9</v>
      </c>
      <c r="BO22" s="437">
        <f t="shared" ref="BO22:BO29" si="9">+((BJ22)/(-BH22))*(1/(1+((BJ22)/(52.9))))</f>
        <v>3.4612735005540345E-2</v>
      </c>
      <c r="BP22" s="437">
        <v>0</v>
      </c>
      <c r="BQ22" s="434">
        <f>(IF(AM22="Multiconductor",VLOOKUP(AX22,CONDUCTORES!$A$24:$G$62,6,FALSE),VLOOKUP(AW22,CONDUCTORES!$B$9:$F$23,5,FALSE)))*(T22)</f>
        <v>503.8</v>
      </c>
      <c r="BR22" s="434">
        <f>(IF(AM22="Multiconductor",VLOOKUP(AZ22,CONDUCTORES!$A$24:$G$62,6,FALSE),VLOOKUP(AY22,CONDUCTORES!$B$9:$F$23,5,FALSE)))*(T22)</f>
        <v>666.6</v>
      </c>
      <c r="BS22" s="443">
        <f t="shared" ref="BS22:BS29" si="10">+(BC22*BD22*(1+$BL$4*($BJ$4-20))/(BQ22))*10^6</f>
        <v>4.2582795609724912E-5</v>
      </c>
      <c r="BT22" s="443">
        <f t="shared" ref="BT22:BT29" si="11">+(BC22*BD22*(1+$BL$4*($BJ$4-20))/(BR22))*10^6</f>
        <v>3.2183036945963711E-5</v>
      </c>
      <c r="BU22" s="443">
        <f t="shared" ref="BU22:BU29" si="12">+(BC22*BD22*(1+$BL$4*($BJ$4-20))/(AP22))*10^6</f>
        <v>5.1995182811874484E-5</v>
      </c>
      <c r="BV22" s="444">
        <f t="shared" ref="BV22:BV29" si="13">(L22)*((J22)^2)*(BS22)*(BB22)</f>
        <v>2111627.2278085453</v>
      </c>
      <c r="BW22" s="444">
        <f t="shared" ref="BW22:BW29" si="14">(L22)*((J22)^2)*(BT22)*(BB22)</f>
        <v>1595916.2876836858</v>
      </c>
      <c r="BX22" s="444">
        <f t="shared" ref="BX22:BX29" si="15">(L22)*((J22)^2)*(BU22)*(BB22)</f>
        <v>2578375.6601307443</v>
      </c>
      <c r="BY22" s="444">
        <f>VLOOKUP(AX22,COSTOS!$A$7:$I$60,4,FALSE)</f>
        <v>86097.547200000001</v>
      </c>
      <c r="BZ22" s="444">
        <f>VLOOKUP(AX22,COSTOS!$A$7:$I$60,5,FALSE)</f>
        <v>60769</v>
      </c>
      <c r="CA22" s="444">
        <f t="shared" ref="CA22:CA29" si="16">+BY22+BZ22</f>
        <v>146866.5472</v>
      </c>
      <c r="CB22" s="444">
        <f t="shared" ref="CB22:CB29" si="17">+CA22*L22*(IF(AM22="Monopolar",T22*H22,T22*AH22))</f>
        <v>11455590.681600001</v>
      </c>
      <c r="CC22" s="444">
        <f>VLOOKUP(AZ22,COSTOS!$A$7:$I$60,4,FALSE)</f>
        <v>121701.96640000002</v>
      </c>
      <c r="CD22" s="444">
        <f>VLOOKUP(AZ22,COSTOS!$A$7:$I$60,5,FALSE)</f>
        <v>60769</v>
      </c>
      <c r="CE22" s="444">
        <f t="shared" ref="CE22:CE29" si="18">+CC22+CD22</f>
        <v>182470.96640000003</v>
      </c>
      <c r="CF22" s="444">
        <f t="shared" ref="CF22:CF29" si="19">+CE22*L22*(IF(AM22="Monopolar",T22*H22,T22*AH22))</f>
        <v>14232735.379200004</v>
      </c>
      <c r="CG22" s="444">
        <f>VLOOKUP(AO22,COSTOS!$A$7:$I$60,4,FALSE)</f>
        <v>70582.42240000001</v>
      </c>
      <c r="CH22" s="444">
        <f>VLOOKUP(AO22,COSTOS!$A$7:$I$60,5,FALSE)</f>
        <v>29908</v>
      </c>
      <c r="CI22" s="444">
        <f t="shared" ref="CI22:CI29" si="20">+CG22+CH22</f>
        <v>100490.42240000001</v>
      </c>
      <c r="CJ22" s="444">
        <f>+CI22*L22*(IF(AM22="Monopolar",M22*H22,M22*AH22))</f>
        <v>7838252.9472000003</v>
      </c>
      <c r="CK22" s="444">
        <f t="shared" ref="CK22:CK29" si="21">(CB22)+(BV22)</f>
        <v>13567217.909408547</v>
      </c>
      <c r="CL22" s="444">
        <f t="shared" ref="CL22:CL29" si="22">(CF22)+(BW22)</f>
        <v>15828651.66688369</v>
      </c>
      <c r="CM22" s="444">
        <f t="shared" ref="CM22:CM29" si="23">(CJ22)+(BX22)</f>
        <v>10416628.607330745</v>
      </c>
      <c r="CN22" s="445" t="e">
        <f>IF(VLOOKUP(C22,'H2-CONDUCTORES DE BT'!$D$19:$BH$499,23,FALSE)="AÉREO","SI","NO")</f>
        <v>#N/A</v>
      </c>
      <c r="CO22" s="446"/>
      <c r="CP22" s="446"/>
      <c r="CQ22" s="446"/>
      <c r="CR22" s="446"/>
    </row>
    <row r="23" spans="1:96" s="408" customFormat="1" ht="25.5" customHeight="1" x14ac:dyDescent="0.25">
      <c r="A23" s="372">
        <f>+IF(OR(AL23=0,AL23=1),0,COUNTIF(AL$21:AL23,AL23))</f>
        <v>2</v>
      </c>
      <c r="B23" s="532" t="s">
        <v>1274</v>
      </c>
      <c r="C23" s="417" t="str">
        <f>+VLOOKUP(A23,'H2-CONDUCTORES DE BT'!$B$15:$CE$149,3,FALSE)</f>
        <v>LPB E0701-BT</v>
      </c>
      <c r="D23" s="418" t="str">
        <f>+VLOOKUP(C23,'H2-CONDUCTORES DE BT'!$D$2:$BL$155,2,FALSE)</f>
        <v>ESTRUCTURA BAJA TENSIÓN (EXISTENTE)</v>
      </c>
      <c r="E23" s="539">
        <f>+VLOOKUP(C23,'H2-CONDUCTORES DE BT'!$D$2:$BL$155,6,FALSE)</f>
        <v>114.61</v>
      </c>
      <c r="F23" s="420" t="str">
        <f>+VLOOKUP(C23,'H2-CONDUCTORES DE BT'!$D$2:$BL$155,7,FALSE)</f>
        <v>kVA</v>
      </c>
      <c r="G23" s="421">
        <f>+VLOOKUP(C23,'H2-CONDUCTORES DE BT'!$D$2:$BL$155,8,FALSE)</f>
        <v>480</v>
      </c>
      <c r="H23" s="422">
        <f>+VLOOKUP(C23,'H2-CONDUCTORES DE BT'!$D$2:$BL$155,9,FALSE)</f>
        <v>3</v>
      </c>
      <c r="I23" s="423">
        <f>+VLOOKUP(C23,'H2-CONDUCTORES DE BT'!$D$2:$BL$155,10,FALSE)</f>
        <v>0.79600000000000004</v>
      </c>
      <c r="J23" s="461">
        <f>+VLOOKUP(C23,'H2-CONDUCTORES DE BT'!$D$2:$BL$155,28,FALSE)</f>
        <v>192</v>
      </c>
      <c r="K23" s="425">
        <f>+VLOOKUP(C23,'H2-CONDUCTORES DE BT'!$D$2:$BL$155,11,FALSE)</f>
        <v>0.94099999999999995</v>
      </c>
      <c r="L23" s="342">
        <f>+VLOOKUP(C23,'H2-CONDUCTORES DE BT'!$D$2:$BL$155,4,FALSE)</f>
        <v>15</v>
      </c>
      <c r="M23" s="426">
        <f t="shared" si="0"/>
        <v>2</v>
      </c>
      <c r="N23" s="427" t="str">
        <f>IF(VLOOKUP(C23,'H2-CONDUCTORES DE BT'!$D$2:$BL$155,40,FALSE)="Cu",VLOOKUP(C23,'H2-CONDUCTORES DE BT'!$D$2:$BL$155,36,FALSE),VLOOKUP(C23,'H2-CONDUCTORES DE BT'!$D$2:$BL$155,55,FALSE))</f>
        <v>2/0 AWG</v>
      </c>
      <c r="O23" s="428" t="str">
        <f>IF(VLOOKUP(C23,'H2-CONDUCTORES DE BT'!$D$15:$BH$499,23,FALSE)="AÉREO","Al","Cu")</f>
        <v>Cu</v>
      </c>
      <c r="P23" s="429"/>
      <c r="Q23" s="430">
        <f>IF(O23="Al",VLOOKUP(C23,'PÉRDIDAS ECONO Al'!$D$15:$Y$507,15,FALSE),CK23)</f>
        <v>7680487.3697391655</v>
      </c>
      <c r="R23" s="430">
        <f>IF(O23="Al",VLOOKUP(C23,'PÉRDIDAS ECONO Al'!$D$15:$Y$507,16,FALSE),CL23)</f>
        <v>9021001.5367599651</v>
      </c>
      <c r="S23" s="430">
        <f>IF(O23="Al",VLOOKUP(C23,'PÉRDIDAS ECONO Al'!$D$15:$Y$507,17,FALSE),CM23)</f>
        <v>7767523.1389854774</v>
      </c>
      <c r="T23" s="462">
        <f>IF(O23="Al",VLOOKUP(C23,'PÉRDIDAS ECONO Al'!$D$15:$Y$507,18,FALSE),IF(AM23="Monopolar",ROUNDUP((AQ23/450.3),0),ROUNDUP((AQ23/456.17),0)))</f>
        <v>1</v>
      </c>
      <c r="U23" s="430" t="str">
        <f>IF(O23="Al",VLOOKUP(C23,'PÉRDIDAS ECONO Al'!$D$15:$Y$507,19,FALSE),AW23)</f>
        <v>250 kcmil</v>
      </c>
      <c r="V23" s="463">
        <f>IF(O23="Al",VLOOKUP(C23,'PÉRDIDAS ECONO Al'!$D$15:$Y$507,20,FALSE),IF(AM23="Monopolar",ROUNDUP((AQ23/450.3),0),ROUNDUP((AQ23/456.17),0)))</f>
        <v>1</v>
      </c>
      <c r="W23" s="430" t="str">
        <f>IF(O23="Al",VLOOKUP(C23,'PÉRDIDAS ECONO Al'!$D$15:$Y$507,21,FALSE),AY23)</f>
        <v>350 kcmil</v>
      </c>
      <c r="X23" s="432" t="str">
        <f>IF(O23="Al",VLOOKUP(C23,'PÉRDIDAS ECONO Al'!$D$15:$Y$507,22,FALSE),IF(MIN(Q23:S23)=S23,"OPCIÓN TÉCNICA",IF(MIN(Q23:S23)=R23,"OPCIÓN 2","OPCIÓN 1")))</f>
        <v>OPCIÓN 1</v>
      </c>
      <c r="Y23" s="392"/>
      <c r="Z23" s="392"/>
      <c r="AA23" s="392"/>
      <c r="AB23" s="392"/>
      <c r="AC23" s="392"/>
      <c r="AD23" s="392"/>
      <c r="AE23" s="392"/>
      <c r="AF23" s="392"/>
      <c r="AG23" s="392"/>
      <c r="AH23" s="343">
        <f>+VLOOKUP(C23,'H2-CONDUCTORES DE BT'!$D$2:$BL$155,37,FALSE)</f>
        <v>2</v>
      </c>
      <c r="AI23" s="343" t="str">
        <f>+VLOOKUP(C23,'H2-CONDUCTORES DE BT'!$D$2:$BL$155,36,FALSE)</f>
        <v>2/0 AWG</v>
      </c>
      <c r="AJ23" s="343">
        <f>IF(AM23="Multiconductor","N/A",IF(VLOOKUP(C23,'H2-CONDUCTORES DE BT'!$D$2:$BL$155,50,FALSE)&lt;&gt;1,VLOOKUP(C23,'H2-CONDUCTORES DE BT'!$D$2:$BL$155,50,FALSE),IF(VLOOKUP(C23,'H2-CONDUCTORES DE BT'!$D$2:$BL$155,23,FALSE)="BANDEJA",1,IF(VLOOKUP(C23,'H2-CONDUCTORES DE BT'!$D$2:$BL$155,24,FALSE)&lt;&gt;3,IF(((VLOOKUP(C23,'H2-CONDUCTORES DE BT'!$D$2:$BL$155,24,FALSE))/3)=AH23,1),VLOOKUP(C23,'H2-CONDUCTORES DE BT'!$D$2:$BL$155,37,FALSE)))))</f>
        <v>2</v>
      </c>
      <c r="AK23" s="343" t="str">
        <f>IF(AM23="Multiconductor","N/A",(IF((VLOOKUP(C23,'H2-CONDUCTORES DE BT'!$D$2:$BL$155,40,FALSE))="Al",IF((VLOOKUP(C23,'H2-CONDUCTORES DE BT'!$D$2:$BL$155,51,FALSE))="No",LOOKUP((VLOOKUP(C23,'H2-CONDUCTORES DE BT'!$D$2:$BL$155,16,FALSE)),CONDUCTORES!$A$111:$A$131,CONDUCTORES!$C$111:$C$131),(VLOOKUP(C23,'H2-CONDUCTORES DE BT'!$D$2:$BL$155,51,FALSE))),IF((VLOOKUP(C23,'H2-CONDUCTORES DE BT'!$D$2:$BL$155,51,FALSE))="No",LOOKUP((VLOOKUP(C23,'H2-CONDUCTORES DE BT'!$D$2:$BL$155,16,FALSE)),CONDUCTORES!$A$111:$A$131,CONDUCTORES!$B$111:$B$131),(VLOOKUP(C23,'H2-CONDUCTORES DE BT'!$D$2:$BL$155,51,FALSE))))))</f>
        <v>4 AWG</v>
      </c>
      <c r="AL23" s="340">
        <f t="shared" si="1"/>
        <v>2</v>
      </c>
      <c r="AM23" s="464" t="str">
        <f>+VLOOKUP(C23,'H2-CONDUCTORES DE BT'!$D$2:$BL$155,38,FALSE)</f>
        <v>Monopolar</v>
      </c>
      <c r="AN23" s="531" t="str">
        <f>IF(AM23="Monopolar","N/A",VLOOKUP(C23,'H2-CONDUCTORES DE BT'!$D$2:$BL$192,39,FALSE))</f>
        <v>N/A</v>
      </c>
      <c r="AO23" s="437">
        <f>+VLOOKUP(C23,'H2-CONDUCTORES DE BT'!$D$2:$CL$492,70,FALSE)</f>
        <v>8</v>
      </c>
      <c r="AP23" s="434">
        <f>(VLOOKUP(AO23,CONDUCTORES!$A$9:$G$62,6,FALSE))*(AH23)</f>
        <v>282.60000000000002</v>
      </c>
      <c r="AQ23" s="434">
        <f t="shared" si="2"/>
        <v>212.42917819648025</v>
      </c>
      <c r="AR23" s="434" t="str">
        <f>+IF(T23=1,"N/A",IF((AQ23/T23)&lt;CONDUCTORES!$F$9,CONDUCTORES!$F$9,IF((AQ23/T23)&lt;CONDUCTORES!$F$10,CONDUCTORES!$F$10,IF((AQ23/T23)&lt;CONDUCTORES!$F$11,CONDUCTORES!$F$11,IF((AQ23/T23)&lt;CONDUCTORES!$F$12,CONDUCTORES!$F$12,IF((AQ23/T23)&lt;CONDUCTORES!$F$13,CONDUCTORES!$F$13,IF((AQ23/T23)&lt;CONDUCTORES!$F$14,CONDUCTORES!$F$14,IF((AQ23/T23)&lt;CONDUCTORES!$F$15,CONDUCTORES!$F$15,IF((AQ23/T23)&lt;CONDUCTORES!$F$16,CONDUCTORES!$F$16,IF((AQ23/T23)&lt;CONDUCTORES!$F$17,CONDUCTORES!$F$17,IF((AQ23/T23)&lt;CONDUCTORES!$F$18,CONDUCTORES!$F$18,IF((AQ23/T23)&lt;CONDUCTORES!$F$19,CONDUCTORES!$F$19,IF((AQ23/T23)&lt;CONDUCTORES!$F$20,CONDUCTORES!$F$20,IF((AQ23/T23)&lt;CONDUCTORES!$F$21,CONDUCTORES!$F$21,IF((AQ23/T23)&lt;CONDUCTORES!$F$22,CONDUCTORES!$F$22,CONDUCTORES!$F$23)))))))))))))))</f>
        <v>N/A</v>
      </c>
      <c r="AS23" s="435">
        <f>IF(AN23="2/C  -",IF(AQ23&lt;CONDUCTORES!$F$24,CONDUCTORES!$F$24,IF(AQ23&lt;CONDUCTORES!$F$27,CONDUCTORES!$F$27,IF(AQ23&lt;CONDUCTORES!$F$30,CONDUCTORES!$F$30,IF(AQ23&lt;CONDUCTORES!$F$33,CONDUCTORES!$F$33,IF(AQ23&lt;CONDUCTORES!$F$36,CONDUCTORES!$F$36,IF(AQ23&lt;CONDUCTORES!$F$39,CONDUCTORES!$F$39,IF(AQ23&lt;CONDUCTORES!$F$42,CONDUCTORES!$F$42,IF(AQ23&lt;CONDUCTORES!$F$45,CONDUCTORES!$F$45,IF(AQ23&lt;CONDUCTORES!$F$48,CONDUCTORES!$F$48,IF(AQ23&lt;CONDUCTORES!$F$51,CONDUCTORES!$F$51,IF(AQ23&lt;CONDUCTORES!$F$54,CONDUCTORES!$F$54,IF(AQ23&lt;CONDUCTORES!$F$57,CONDUCTORES!$F$57,CONDUCTORES!$F$60)))))))))))),0)</f>
        <v>0</v>
      </c>
      <c r="AT23" s="435">
        <f>IF(AN23="3/C  -",IF(AQ23&lt;CONDUCTORES!$F$25,CONDUCTORES!$F$25,IF(AQ23&lt;CONDUCTORES!$F$28,CONDUCTORES!$F$28,IF(AQ23&lt;CONDUCTORES!$F$31,CONDUCTORES!$F$31,IF(AQ23&lt;CONDUCTORES!$F$34,CONDUCTORES!$F$34,IF(AQ23&lt;CONDUCTORES!$F$37,CONDUCTORES!$F$37,IF(AQ23&lt;CONDUCTORES!$F$40,CONDUCTORES!$F$40,IF(AQ23&lt;CONDUCTORES!$F$43,CONDUCTORES!$F$43,IF(AQ23&lt;CONDUCTORES!$F$46,CONDUCTORES!$F$46,IF(AQ23&lt;CONDUCTORES!$F$49,CONDUCTORES!$F$49,IF(AQ23&lt;CONDUCTORES!$F$52,CONDUCTORES!$F$52,IF(AQ23&lt;CONDUCTORES!$F$55,CONDUCTORES!$F$55,IF(AQ23&lt;CONDUCTORES!$F$58,CONDUCTORES!$F$58,CONDUCTORES!$F$61)))))))))))),0)</f>
        <v>0</v>
      </c>
      <c r="AU23" s="435">
        <f>IF(AN23="4/C  -",IF(AQ23&lt;CONDUCTORES!$F$26,CONDUCTORES!$F$26,IF(AQ23&lt;CONDUCTORES!$F$29,CONDUCTORES!$F$29,IF(AQ23&lt;CONDUCTORES!$F$32,CONDUCTORES!$F$32,IF(AQ23&lt;CONDUCTORES!$F$35,CONDUCTORES!$F$35,IF(AQ23&lt;CONDUCTORES!$F$38,CONDUCTORES!$F$38,IF(AQ23&lt;CONDUCTORES!$F$41,CONDUCTORES!$F$41,IF(AQ23&lt;CONDUCTORES!$F$44,CONDUCTORES!$F$44,IF(AQ23&lt;CONDUCTORES!$F$47,CONDUCTORES!$F$47,IF(AQ23&lt;CONDUCTORES!$F$50,CONDUCTORES!$F$50,IF(AQ23&lt;CONDUCTORES!$F$53,CONDUCTORES!$F$53,IF(AQ23&lt;CONDUCTORES!$F$56,CONDUCTORES!$F$56,IF(AQ23&lt;CONDUCTORES!$F$59,CONDUCTORES!$F$59,CONDUCTORES!$F$62)))))))))))),0)</f>
        <v>0</v>
      </c>
      <c r="AV23" s="436">
        <f>IF(AM23="Multiconductor",IF(AN23="2/C  -",AS23,IF(AN23="3/C  -",AT23,IF(AN23="4/C  -",AU23,"NO SE CÁLCULO, REVISAR"))),IF(AQ23&lt;CONDUCTORES!$F$9,CONDUCTORES!$F$9,IF(AQ23&lt;CONDUCTORES!$F$10,CONDUCTORES!$F$10,IF(AQ23&lt;CONDUCTORES!$F$11,CONDUCTORES!$F$11,IF(AQ23&lt;CONDUCTORES!$F$12,CONDUCTORES!$F$12,IF(AQ23&lt;CONDUCTORES!$F$13,CONDUCTORES!$F$13,IF(AQ23&lt;CONDUCTORES!$F$14,CONDUCTORES!$F$14,IF(AQ23&lt;CONDUCTORES!$F$15,CONDUCTORES!$F$15,IF(AQ23&lt;CONDUCTORES!$F$16,CONDUCTORES!$F$16,IF(AQ23&lt;CONDUCTORES!$F$17,CONDUCTORES!$F$17,IF(AQ23&lt;CONDUCTORES!$F$18,CONDUCTORES!$F$18,IF(AQ23&lt;CONDUCTORES!$F$19,CONDUCTORES!$F$19,IF(AQ23&lt;CONDUCTORES!$F$20,CONDUCTORES!$F$20,IF(AQ23&lt;CONDUCTORES!$F$21,CONDUCTORES!$F$21,IF(AQ23&lt;CONDUCTORES!$F$22,CONDUCTORES!$F$22,CONDUCTORES!$F$23)))))))))))))))</f>
        <v>251.9</v>
      </c>
      <c r="AW23" s="437" t="str">
        <f>IF(AM23="Multiconductor",VLOOKUP(IF(T23=1,AV23,AR23),CONDUCTORES!$F$24:$AG$62,23,FALSE),VLOOKUP(IF(T23=1,AV23,AR23),CONDUCTORES!$F$9:$AF$23,23,FALSE))</f>
        <v>250 kcmil</v>
      </c>
      <c r="AX23" s="437">
        <f>IF(AM23="Multiconductor",VLOOKUP(AV23,CONDUCTORES!$F$24:$AG$62,19,FALSE),VLOOKUP(AW23,CONDUCTORES!$B$9:$X$23,23,FALSE))</f>
        <v>11</v>
      </c>
      <c r="AY23" s="437" t="str">
        <f>+VLOOKUP(AW23,CONDUCTORES!$B$9:$BB$23,32,FALSE)</f>
        <v>350 kcmil</v>
      </c>
      <c r="AZ23" s="437">
        <f>IF(AM23="Multiconductor",AX23+3,VLOOKUP(AY23,CONDUCTORES!$B$9:$X$23,23,FALSE))</f>
        <v>12</v>
      </c>
      <c r="BA23" s="438">
        <f t="shared" si="3"/>
        <v>192</v>
      </c>
      <c r="BB23" s="502">
        <f t="shared" ref="BB23:BB29" si="24">($H23*$BA$4*($AX$4*$BC$5+$AO$4)*($AQ$4/(1+($AV$4/1))))</f>
        <v>22691.960428119746</v>
      </c>
      <c r="BC23" s="439">
        <f t="shared" si="4"/>
        <v>1.8349999999999999E-8</v>
      </c>
      <c r="BD23" s="437">
        <f t="shared" si="5"/>
        <v>1.0373782938022442</v>
      </c>
      <c r="BE23" s="440">
        <f>VLOOKUP(AO23,COSTOS!$A$7:$Z$94,7,FALSE)</f>
        <v>398.74734607218682</v>
      </c>
      <c r="BF23" s="437">
        <f>((2.5)/(18*LN((VLOOKUP(N23,CONDUCTORES!$B$9:$AF$23,24,FALSE))/(VLOOKUP(N23,CONDUCTORES!$B$9:$D$23,3,FALSE)))))*-0.000000001</f>
        <v>5.8926535293154483E-11</v>
      </c>
      <c r="BG23" s="437">
        <f t="shared" si="6"/>
        <v>5.1182854146240435E-6</v>
      </c>
      <c r="BH23" s="437">
        <f>(0.12)*(5000)*(LN((VLOOKUP(N23,CONDUCTORES!$B$9:$AF$23,24,FALSE))/(VLOOKUP(N23,CONDUCTORES!$B$9:$D$23,3,FALSE))))</f>
        <v>-1414.1902780938522</v>
      </c>
      <c r="BI23" s="437">
        <f>+($BE$3)-(((J23^2)*(VLOOKUP(N23,CONDUCTORES!$B$9:$K$23,7,FALSE)))+(0.5*BG23))*(BH23)</f>
        <v>17932681.942955174</v>
      </c>
      <c r="BJ23" s="441">
        <f t="shared" si="7"/>
        <v>69938.381577525171</v>
      </c>
      <c r="BK23" s="437">
        <f>+SQRT(((8*PI()*60)/(VLOOKUP(N23,CONDUCTORES!$B$9:$K$23,7,FALSE)))*(0.0000001)*(1))</f>
        <v>2.0937709714824282E-2</v>
      </c>
      <c r="BL23" s="437">
        <f>+SQRT(((8*PI()*60)/(VLOOKUP(N23,CONDUCTORES!$B$9:$K$23,7,FALSE)))*(0.0000001)*(1))</f>
        <v>2.0937709714824282E-2</v>
      </c>
      <c r="BM23" s="442">
        <f>((BL23^4)/((192)+((0.8)*(BL23^4))))*(((VLOOKUP(N23,CONDUCTORES!$B$9:$K$23,7,FALSE))/(1))^2)*(2.9)</f>
        <v>3.4346223288287672E-10</v>
      </c>
      <c r="BN23" s="442">
        <f t="shared" si="8"/>
        <v>1.0009571089882235E-9</v>
      </c>
      <c r="BO23" s="437">
        <f t="shared" si="9"/>
        <v>3.73782924075729E-2</v>
      </c>
      <c r="BP23" s="437">
        <v>0</v>
      </c>
      <c r="BQ23" s="434">
        <f>(IF(AM23="Multiconductor",VLOOKUP(AX23,CONDUCTORES!$A$24:$G$62,6,FALSE),VLOOKUP(AW23,CONDUCTORES!$B$9:$F$23,5,FALSE)))*(T23)</f>
        <v>251.9</v>
      </c>
      <c r="BR23" s="434">
        <f>(IF(AM23="Multiconductor",VLOOKUP(AZ23,CONDUCTORES!$A$24:$G$62,6,FALSE),VLOOKUP(AY23,CONDUCTORES!$B$9:$F$23,5,FALSE)))*(T23)</f>
        <v>333.3</v>
      </c>
      <c r="BS23" s="443">
        <f t="shared" si="10"/>
        <v>8.5393241806813925E-5</v>
      </c>
      <c r="BT23" s="443">
        <f t="shared" si="11"/>
        <v>6.4538126646073902E-5</v>
      </c>
      <c r="BU23" s="443">
        <f t="shared" si="12"/>
        <v>7.6116622827800525E-5</v>
      </c>
      <c r="BV23" s="444">
        <f t="shared" si="13"/>
        <v>1071492.7457391662</v>
      </c>
      <c r="BW23" s="444">
        <f t="shared" si="14"/>
        <v>809808.04875996406</v>
      </c>
      <c r="BX23" s="444">
        <f t="shared" si="15"/>
        <v>955092.08298547764</v>
      </c>
      <c r="BY23" s="444">
        <f>VLOOKUP(AX23,COSTOS!$A$7:$I$60,4,FALSE)</f>
        <v>86097.547200000001</v>
      </c>
      <c r="BZ23" s="444">
        <f>VLOOKUP(AX23,COSTOS!$A$7:$I$60,5,FALSE)</f>
        <v>60769</v>
      </c>
      <c r="CA23" s="444">
        <f t="shared" si="16"/>
        <v>146866.5472</v>
      </c>
      <c r="CB23" s="444">
        <f t="shared" si="17"/>
        <v>6608994.6239999998</v>
      </c>
      <c r="CC23" s="444">
        <f>VLOOKUP(AZ23,COSTOS!$A$7:$I$60,4,FALSE)</f>
        <v>121701.96640000002</v>
      </c>
      <c r="CD23" s="444">
        <f>VLOOKUP(AZ23,COSTOS!$A$7:$I$60,5,FALSE)</f>
        <v>60769</v>
      </c>
      <c r="CE23" s="444">
        <f t="shared" si="18"/>
        <v>182470.96640000003</v>
      </c>
      <c r="CF23" s="444">
        <f t="shared" si="19"/>
        <v>8211193.4880000008</v>
      </c>
      <c r="CG23" s="444">
        <f>VLOOKUP(AO23,COSTOS!$A$7:$I$60,4,FALSE)</f>
        <v>45785.678400000004</v>
      </c>
      <c r="CH23" s="444">
        <f>VLOOKUP(AO23,COSTOS!$A$7:$I$60,5,FALSE)</f>
        <v>29908</v>
      </c>
      <c r="CI23" s="444">
        <f t="shared" si="20"/>
        <v>75693.678400000004</v>
      </c>
      <c r="CJ23" s="444">
        <f t="shared" ref="CJ23:CJ29" si="25">+CI23*L23*(IF(AM23="Monopolar",M23*H23,M23*AH23))</f>
        <v>6812431.0559999999</v>
      </c>
      <c r="CK23" s="444">
        <f t="shared" si="21"/>
        <v>7680487.3697391655</v>
      </c>
      <c r="CL23" s="444">
        <f t="shared" si="22"/>
        <v>9021001.5367599651</v>
      </c>
      <c r="CM23" s="444">
        <f t="shared" si="23"/>
        <v>7767523.1389854774</v>
      </c>
      <c r="CN23" s="445" t="str">
        <f>IF(VLOOKUP(C23,'H2-CONDUCTORES DE BT'!$D$19:$BH$499,23,FALSE)="AÉREO","SI","NO")</f>
        <v>NO</v>
      </c>
      <c r="CO23" s="446"/>
      <c r="CP23" s="446"/>
      <c r="CQ23" s="446"/>
      <c r="CR23" s="446"/>
    </row>
    <row r="24" spans="1:96" s="408" customFormat="1" ht="25.5" customHeight="1" x14ac:dyDescent="0.25">
      <c r="A24" s="372">
        <f>+IF(OR(AL24=0,AL24=1),0,COUNTIF(AL$21:AL24,AL24))</f>
        <v>3</v>
      </c>
      <c r="B24" s="532" t="s">
        <v>1275</v>
      </c>
      <c r="C24" s="417" t="str">
        <f>+VLOOKUP(A24,'H2-CONDUCTORES DE BT'!$B$15:$CE$149,3,FALSE)</f>
        <v>PE04</v>
      </c>
      <c r="D24" s="418" t="str">
        <f>+VLOOKUP(C24,'H2-CONDUCTORES DE BT'!$D$2:$BL$155,2,FALSE)</f>
        <v>POSTE BAJA TENSIÓN (EXISTENTE)</v>
      </c>
      <c r="E24" s="539">
        <f>+VLOOKUP(C24,'H2-CONDUCTORES DE BT'!$D$2:$BL$155,6,FALSE)</f>
        <v>114.61</v>
      </c>
      <c r="F24" s="420" t="str">
        <f>+VLOOKUP(C24,'H2-CONDUCTORES DE BT'!$D$2:$BL$155,7,FALSE)</f>
        <v>kVA</v>
      </c>
      <c r="G24" s="421">
        <f>+VLOOKUP(C24,'H2-CONDUCTORES DE BT'!$D$2:$BL$155,8,FALSE)</f>
        <v>480</v>
      </c>
      <c r="H24" s="422">
        <f>+VLOOKUP(C24,'H2-CONDUCTORES DE BT'!$D$2:$BL$155,9,FALSE)</f>
        <v>3</v>
      </c>
      <c r="I24" s="423">
        <f>+VLOOKUP(C24,'H2-CONDUCTORES DE BT'!$D$2:$BL$155,10,FALSE)</f>
        <v>0.79600000000000004</v>
      </c>
      <c r="J24" s="461">
        <f>+VLOOKUP(C24,'H2-CONDUCTORES DE BT'!$D$2:$BL$155,28,FALSE)</f>
        <v>440</v>
      </c>
      <c r="K24" s="425">
        <f>+VLOOKUP(C24,'H2-CONDUCTORES DE BT'!$D$2:$BL$155,11,FALSE)</f>
        <v>0.94099999999999995</v>
      </c>
      <c r="L24" s="342">
        <f>+VLOOKUP(C24,'H2-CONDUCTORES DE BT'!$D$2:$BL$155,4,FALSE)</f>
        <v>228</v>
      </c>
      <c r="M24" s="426">
        <f t="shared" si="0"/>
        <v>2</v>
      </c>
      <c r="N24" s="427" t="str">
        <f>IF(VLOOKUP(C24,'H2-CONDUCTORES DE BT'!$D$2:$BL$155,40,FALSE)="Cu",VLOOKUP(C24,'H2-CONDUCTORES DE BT'!$D$2:$BL$155,36,FALSE),VLOOKUP(C24,'H2-CONDUCTORES DE BT'!$D$2:$BL$155,55,FALSE))</f>
        <v>4/0 AWG</v>
      </c>
      <c r="O24" s="428" t="str">
        <f>IF(VLOOKUP(C24,'H2-CONDUCTORES DE BT'!$D$15:$BH$499,23,FALSE)="AÉREO","Al","Cu")</f>
        <v>Al</v>
      </c>
      <c r="P24" s="429"/>
      <c r="Q24" s="430">
        <f>IF(O24="Al",VLOOKUP(C24,'PÉRDIDAS ECONO Al'!$D$15:$Y$507,15,FALSE),CK24)</f>
        <v>308573316.63505512</v>
      </c>
      <c r="R24" s="430">
        <f>IF(O24="Al",VLOOKUP(C24,'PÉRDIDAS ECONO Al'!$D$15:$Y$507,16,FALSE),CL24)</f>
        <v>342853236.49835515</v>
      </c>
      <c r="S24" s="430">
        <f>IF(O24="Al",VLOOKUP(C24,'PÉRDIDAS ECONO Al'!$D$15:$Y$507,17,FALSE),CM24)</f>
        <v>240162067.17077756</v>
      </c>
      <c r="T24" s="462">
        <f>IF(O24="Al",VLOOKUP(C24,'PÉRDIDAS ECONO Al'!$D$15:$Y$507,18,FALSE),IF(AM24="Monopolar",ROUNDUP((AQ24/450.3),0),ROUNDUP((AQ24/456.17),0)))</f>
        <v>1</v>
      </c>
      <c r="U24" s="430" t="str">
        <f>IF(O24="Al",VLOOKUP(C24,'PÉRDIDAS ECONO Al'!$D$15:$Y$507,19,FALSE),AW24)</f>
        <v>3/0 AWG</v>
      </c>
      <c r="V24" s="463">
        <f>IF(O24="Al",VLOOKUP(C24,'PÉRDIDAS ECONO Al'!$D$15:$Y$507,20,FALSE),IF(AM24="Monopolar",ROUNDUP((AQ24/450.3),0),ROUNDUP((AQ24/456.17),0)))</f>
        <v>2</v>
      </c>
      <c r="W24" s="430" t="str">
        <f>IF(O24="Al",VLOOKUP(C24,'PÉRDIDAS ECONO Al'!$D$15:$Y$507,21,FALSE),AY24)</f>
        <v>4/0 AWG</v>
      </c>
      <c r="X24" s="432" t="str">
        <f>IF(O24="Al",VLOOKUP(C24,'PÉRDIDAS ECONO Al'!$D$15:$Y$507,22,FALSE),IF(MIN(Q24:S24)=S24,"OPCIÓN TÉCNICA",IF(MIN(Q24:S24)=R24,"OPCIÓN 2","OPCIÓN 1")))</f>
        <v>OPCIÓN TÉCNICA</v>
      </c>
      <c r="Y24" s="392"/>
      <c r="Z24" s="392"/>
      <c r="AA24" s="392"/>
      <c r="AB24" s="392"/>
      <c r="AC24" s="392"/>
      <c r="AD24" s="392"/>
      <c r="AE24" s="392"/>
      <c r="AF24" s="392"/>
      <c r="AG24" s="392"/>
      <c r="AH24" s="343">
        <f>+VLOOKUP(C24,'H2-CONDUCTORES DE BT'!$D$2:$BL$155,37,FALSE)</f>
        <v>2</v>
      </c>
      <c r="AI24" s="343" t="str">
        <f>+VLOOKUP(C24,'H2-CONDUCTORES DE BT'!$D$2:$BL$155,36,FALSE)</f>
        <v>4/0 AWG</v>
      </c>
      <c r="AJ24" s="343">
        <f>IF(AM24="Multiconductor","N/A",IF(VLOOKUP(C24,'H2-CONDUCTORES DE BT'!$D$2:$BL$155,50,FALSE)&lt;&gt;1,VLOOKUP(C24,'H2-CONDUCTORES DE BT'!$D$2:$BL$155,50,FALSE),IF(VLOOKUP(C24,'H2-CONDUCTORES DE BT'!$D$2:$BL$155,23,FALSE)="BANDEJA",1,IF(VLOOKUP(C24,'H2-CONDUCTORES DE BT'!$D$2:$BL$155,24,FALSE)&lt;&gt;3,IF(((VLOOKUP(C24,'H2-CONDUCTORES DE BT'!$D$2:$BL$155,24,FALSE))/3)=AH24,1),VLOOKUP(C24,'H2-CONDUCTORES DE BT'!$D$2:$BL$155,37,FALSE)))))</f>
        <v>2</v>
      </c>
      <c r="AK24" s="343" t="str">
        <f>IF(AM24="Multiconductor","N/A",(IF((VLOOKUP(C24,'H2-CONDUCTORES DE BT'!$D$2:$BL$155,40,FALSE))="Al",IF((VLOOKUP(C24,'H2-CONDUCTORES DE BT'!$D$2:$BL$155,51,FALSE))="No",LOOKUP((VLOOKUP(C24,'H2-CONDUCTORES DE BT'!$D$2:$BL$155,16,FALSE)),CONDUCTORES!$A$111:$A$131,CONDUCTORES!$C$111:$C$131),(VLOOKUP(C24,'H2-CONDUCTORES DE BT'!$D$2:$BL$155,51,FALSE))),IF((VLOOKUP(C24,'H2-CONDUCTORES DE BT'!$D$2:$BL$155,51,FALSE))="No",LOOKUP((VLOOKUP(C24,'H2-CONDUCTORES DE BT'!$D$2:$BL$155,16,FALSE)),CONDUCTORES!$A$111:$A$131,CONDUCTORES!$B$111:$B$131),(VLOOKUP(C24,'H2-CONDUCTORES DE BT'!$D$2:$BL$155,51,FALSE))))))</f>
        <v>4/0 AWG</v>
      </c>
      <c r="AL24" s="340">
        <f t="shared" si="1"/>
        <v>2</v>
      </c>
      <c r="AM24" s="464" t="str">
        <f>+VLOOKUP(C24,'H2-CONDUCTORES DE BT'!$D$2:$BL$155,38,FALSE)</f>
        <v>Monopolar</v>
      </c>
      <c r="AN24" s="531" t="str">
        <f>IF(AM24="Monopolar","N/A",VLOOKUP(C24,'H2-CONDUCTORES DE BT'!$D$2:$BL$192,39,FALSE))</f>
        <v>N/A</v>
      </c>
      <c r="AO24" s="437">
        <f>+VLOOKUP(C24,'H2-CONDUCTORES DE BT'!$D$2:$CL$492,70,FALSE)</f>
        <v>10</v>
      </c>
      <c r="AP24" s="434">
        <f>(VLOOKUP(AO24,CONDUCTORES!$A$9:$G$62,6,FALSE))*(AH24)</f>
        <v>412.6</v>
      </c>
      <c r="AQ24" s="434">
        <f t="shared" si="2"/>
        <v>526.73702868366024</v>
      </c>
      <c r="AR24" s="434" t="str">
        <f>+IF(T24=1,"N/A",IF((AQ24/T24)&lt;CONDUCTORES!$F$9,CONDUCTORES!$F$9,IF((AQ24/T24)&lt;CONDUCTORES!$F$10,CONDUCTORES!$F$10,IF((AQ24/T24)&lt;CONDUCTORES!$F$11,CONDUCTORES!$F$11,IF((AQ24/T24)&lt;CONDUCTORES!$F$12,CONDUCTORES!$F$12,IF((AQ24/T24)&lt;CONDUCTORES!$F$13,CONDUCTORES!$F$13,IF((AQ24/T24)&lt;CONDUCTORES!$F$14,CONDUCTORES!$F$14,IF((AQ24/T24)&lt;CONDUCTORES!$F$15,CONDUCTORES!$F$15,IF((AQ24/T24)&lt;CONDUCTORES!$F$16,CONDUCTORES!$F$16,IF((AQ24/T24)&lt;CONDUCTORES!$F$17,CONDUCTORES!$F$17,IF((AQ24/T24)&lt;CONDUCTORES!$F$18,CONDUCTORES!$F$18,IF((AQ24/T24)&lt;CONDUCTORES!$F$19,CONDUCTORES!$F$19,IF((AQ24/T24)&lt;CONDUCTORES!$F$20,CONDUCTORES!$F$20,IF((AQ24/T24)&lt;CONDUCTORES!$F$21,CONDUCTORES!$F$21,IF((AQ24/T24)&lt;CONDUCTORES!$F$22,CONDUCTORES!$F$22,CONDUCTORES!$F$23)))))))))))))))</f>
        <v>N/A</v>
      </c>
      <c r="AS24" s="435">
        <f>IF(AN24="2/C  -",IF(AQ24&lt;CONDUCTORES!$F$24,CONDUCTORES!$F$24,IF(AQ24&lt;CONDUCTORES!$F$27,CONDUCTORES!$F$27,IF(AQ24&lt;CONDUCTORES!$F$30,CONDUCTORES!$F$30,IF(AQ24&lt;CONDUCTORES!$F$33,CONDUCTORES!$F$33,IF(AQ24&lt;CONDUCTORES!$F$36,CONDUCTORES!$F$36,IF(AQ24&lt;CONDUCTORES!$F$39,CONDUCTORES!$F$39,IF(AQ24&lt;CONDUCTORES!$F$42,CONDUCTORES!$F$42,IF(AQ24&lt;CONDUCTORES!$F$45,CONDUCTORES!$F$45,IF(AQ24&lt;CONDUCTORES!$F$48,CONDUCTORES!$F$48,IF(AQ24&lt;CONDUCTORES!$F$51,CONDUCTORES!$F$51,IF(AQ24&lt;CONDUCTORES!$F$54,CONDUCTORES!$F$54,IF(AQ24&lt;CONDUCTORES!$F$57,CONDUCTORES!$F$57,CONDUCTORES!$F$60)))))))))))),0)</f>
        <v>0</v>
      </c>
      <c r="AT24" s="435">
        <f>IF(AN24="3/C  -",IF(AQ24&lt;CONDUCTORES!$F$25,CONDUCTORES!$F$25,IF(AQ24&lt;CONDUCTORES!$F$28,CONDUCTORES!$F$28,IF(AQ24&lt;CONDUCTORES!$F$31,CONDUCTORES!$F$31,IF(AQ24&lt;CONDUCTORES!$F$34,CONDUCTORES!$F$34,IF(AQ24&lt;CONDUCTORES!$F$37,CONDUCTORES!$F$37,IF(AQ24&lt;CONDUCTORES!$F$40,CONDUCTORES!$F$40,IF(AQ24&lt;CONDUCTORES!$F$43,CONDUCTORES!$F$43,IF(AQ24&lt;CONDUCTORES!$F$46,CONDUCTORES!$F$46,IF(AQ24&lt;CONDUCTORES!$F$49,CONDUCTORES!$F$49,IF(AQ24&lt;CONDUCTORES!$F$52,CONDUCTORES!$F$52,IF(AQ24&lt;CONDUCTORES!$F$55,CONDUCTORES!$F$55,IF(AQ24&lt;CONDUCTORES!$F$58,CONDUCTORES!$F$58,CONDUCTORES!$F$61)))))))))))),0)</f>
        <v>0</v>
      </c>
      <c r="AU24" s="435">
        <f>IF(AN24="4/C  -",IF(AQ24&lt;CONDUCTORES!$F$26,CONDUCTORES!$F$26,IF(AQ24&lt;CONDUCTORES!$F$29,CONDUCTORES!$F$29,IF(AQ24&lt;CONDUCTORES!$F$32,CONDUCTORES!$F$32,IF(AQ24&lt;CONDUCTORES!$F$35,CONDUCTORES!$F$35,IF(AQ24&lt;CONDUCTORES!$F$38,CONDUCTORES!$F$38,IF(AQ24&lt;CONDUCTORES!$F$41,CONDUCTORES!$F$41,IF(AQ24&lt;CONDUCTORES!$F$44,CONDUCTORES!$F$44,IF(AQ24&lt;CONDUCTORES!$F$47,CONDUCTORES!$F$47,IF(AQ24&lt;CONDUCTORES!$F$50,CONDUCTORES!$F$50,IF(AQ24&lt;CONDUCTORES!$F$53,CONDUCTORES!$F$53,IF(AQ24&lt;CONDUCTORES!$F$56,CONDUCTORES!$F$56,IF(AQ24&lt;CONDUCTORES!$F$59,CONDUCTORES!$F$59,CONDUCTORES!$F$62)))))))))))),0)</f>
        <v>0</v>
      </c>
      <c r="AV24" s="436">
        <f>IF(AM24="Multiconductor",IF(AN24="2/C  -",AS24,IF(AN24="3/C  -",AT24,IF(AN24="4/C  -",AU24,"NO SE CÁLCULO, REVISAR"))),IF(AQ24&lt;CONDUCTORES!$F$9,CONDUCTORES!$F$9,IF(AQ24&lt;CONDUCTORES!$F$10,CONDUCTORES!$F$10,IF(AQ24&lt;CONDUCTORES!$F$11,CONDUCTORES!$F$11,IF(AQ24&lt;CONDUCTORES!$F$12,CONDUCTORES!$F$12,IF(AQ24&lt;CONDUCTORES!$F$13,CONDUCTORES!$F$13,IF(AQ24&lt;CONDUCTORES!$F$14,CONDUCTORES!$F$14,IF(AQ24&lt;CONDUCTORES!$F$15,CONDUCTORES!$F$15,IF(AQ24&lt;CONDUCTORES!$F$16,CONDUCTORES!$F$16,IF(AQ24&lt;CONDUCTORES!$F$17,CONDUCTORES!$F$17,IF(AQ24&lt;CONDUCTORES!$F$18,CONDUCTORES!$F$18,IF(AQ24&lt;CONDUCTORES!$F$19,CONDUCTORES!$F$19,IF(AQ24&lt;CONDUCTORES!$F$20,CONDUCTORES!$F$20,IF(AQ24&lt;CONDUCTORES!$F$21,CONDUCTORES!$F$21,IF(AQ24&lt;CONDUCTORES!$F$22,CONDUCTORES!$F$22,CONDUCTORES!$F$23)))))))))))))))</f>
        <v>679.5</v>
      </c>
      <c r="AW24" s="437" t="str">
        <f>IF(AM24="Multiconductor",VLOOKUP(IF(T24=1,AV24,AR24),CONDUCTORES!$F$24:$AG$62,23,FALSE),VLOOKUP(IF(T24=1,AV24,AR24),CONDUCTORES!$F$9:$AF$23,23,FALSE))</f>
        <v>750 kcmil</v>
      </c>
      <c r="AX24" s="437">
        <f>IF(AM24="Multiconductor",VLOOKUP(AV24,CONDUCTORES!$F$24:$AG$62,19,FALSE),VLOOKUP(AW24,CONDUCTORES!$B$9:$X$23,23,FALSE))</f>
        <v>14</v>
      </c>
      <c r="AY24" s="437" t="str">
        <f>+VLOOKUP(AW24,CONDUCTORES!$B$9:$BB$23,32,FALSE)</f>
        <v>1000 kcmil</v>
      </c>
      <c r="AZ24" s="437">
        <f>IF(AM24="Multiconductor",AX24+3,VLOOKUP(AY24,CONDUCTORES!$B$9:$X$23,23,FALSE))</f>
        <v>15</v>
      </c>
      <c r="BA24" s="438">
        <f t="shared" si="3"/>
        <v>440</v>
      </c>
      <c r="BB24" s="502">
        <f t="shared" si="24"/>
        <v>22691.960428119746</v>
      </c>
      <c r="BC24" s="439">
        <f t="shared" si="4"/>
        <v>1.8349999999999999E-8</v>
      </c>
      <c r="BD24" s="437">
        <f t="shared" si="5"/>
        <v>1.0346138487044891</v>
      </c>
      <c r="BE24" s="440">
        <f>VLOOKUP(AO24,COSTOS!$A$7:$Z$94,7,FALSE)</f>
        <v>339.68977217644203</v>
      </c>
      <c r="BF24" s="437">
        <f>((2.5)/(18*LN((VLOOKUP(N24,CONDUCTORES!$B$9:$AF$23,24,FALSE))/(VLOOKUP(N24,CONDUCTORES!$B$9:$D$23,3,FALSE)))))*-0.000000001</f>
        <v>5.4538704635077959E-11</v>
      </c>
      <c r="BG24" s="437">
        <f t="shared" si="6"/>
        <v>4.7371639122763179E-6</v>
      </c>
      <c r="BH24" s="437">
        <f>(0.12)*(5000)*(LN((VLOOKUP(N24,CONDUCTORES!$B$9:$AF$23,24,FALSE))/(VLOOKUP(N24,CONDUCTORES!$B$9:$D$23,3,FALSE))))</f>
        <v>-1527.966861166251</v>
      </c>
      <c r="BI24" s="437">
        <f>+($BE$3)-(((J24^2)*(VLOOKUP(N24,CONDUCTORES!$B$9:$K$23,7,FALSE)))+(0.5*BG24))*(BH24)</f>
        <v>64105192.524147771</v>
      </c>
      <c r="BJ24" s="441">
        <f t="shared" si="7"/>
        <v>250011.1728441763</v>
      </c>
      <c r="BK24" s="437">
        <f>+SQRT(((8*PI()*60)/(VLOOKUP(N24,CONDUCTORES!$B$9:$K$23,7,FALSE)))*(0.0000001)*(1))</f>
        <v>2.6379034727945793E-2</v>
      </c>
      <c r="BL24" s="437">
        <f>+SQRT(((8*PI()*60)/(VLOOKUP(N24,CONDUCTORES!$B$9:$K$23,7,FALSE)))*(0.0000001)*(1))</f>
        <v>2.6379034727945793E-2</v>
      </c>
      <c r="BM24" s="442">
        <f>((BL24^4)/((192)+((0.8)*(BL24^4))))*(((VLOOKUP(N24,CONDUCTORES!$B$9:$K$23,7,FALSE))/(1))^2)*(2.9)</f>
        <v>3.4346223246495741E-10</v>
      </c>
      <c r="BN24" s="442">
        <f t="shared" si="8"/>
        <v>2.5219377872770847E-9</v>
      </c>
      <c r="BO24" s="437">
        <f t="shared" si="9"/>
        <v>3.461384573990689E-2</v>
      </c>
      <c r="BP24" s="437">
        <v>0</v>
      </c>
      <c r="BQ24" s="434">
        <f>(IF(AM24="Multiconductor",VLOOKUP(AX24,CONDUCTORES!$A$24:$G$62,6,FALSE),VLOOKUP(AW24,CONDUCTORES!$B$9:$F$23,5,FALSE)))*(T24)</f>
        <v>679.5</v>
      </c>
      <c r="BR24" s="434">
        <f>(IF(AM24="Multiconductor",VLOOKUP(AZ24,CONDUCTORES!$A$24:$G$62,6,FALSE),VLOOKUP(AY24,CONDUCTORES!$B$9:$F$23,5,FALSE)))*(T24)</f>
        <v>872.2</v>
      </c>
      <c r="BS24" s="443">
        <f t="shared" si="10"/>
        <v>3.157209044858268E-5</v>
      </c>
      <c r="BT24" s="443">
        <f t="shared" si="11"/>
        <v>2.4596692799600928E-5</v>
      </c>
      <c r="BU24" s="443">
        <f t="shared" si="12"/>
        <v>5.1995238632602834E-5</v>
      </c>
      <c r="BV24" s="444">
        <f t="shared" si="13"/>
        <v>31623909.305953838</v>
      </c>
      <c r="BW24" s="444">
        <f t="shared" si="14"/>
        <v>24637063.028428838</v>
      </c>
      <c r="BX24" s="444">
        <f t="shared" si="15"/>
        <v>52080577.734841563</v>
      </c>
      <c r="BY24" s="444">
        <f>VLOOKUP(AX24,COSTOS!$A$7:$I$60,4,FALSE)</f>
        <v>256380.34336</v>
      </c>
      <c r="BZ24" s="444">
        <f>VLOOKUP(AX24,COSTOS!$A$7:$I$60,5,FALSE)</f>
        <v>60769</v>
      </c>
      <c r="CA24" s="444">
        <f t="shared" si="16"/>
        <v>317149.34336</v>
      </c>
      <c r="CB24" s="444">
        <f t="shared" si="17"/>
        <v>216930150.85824001</v>
      </c>
      <c r="CC24" s="444">
        <f>VLOOKUP(AZ24,COSTOS!$A$7:$I$60,4,FALSE)</f>
        <v>430932.48070399999</v>
      </c>
      <c r="CD24" s="444">
        <f>VLOOKUP(AZ24,COSTOS!$A$7:$I$60,5,FALSE)</f>
        <v>60769</v>
      </c>
      <c r="CE24" s="444">
        <f t="shared" si="18"/>
        <v>491701.48070399999</v>
      </c>
      <c r="CF24" s="444">
        <f t="shared" si="19"/>
        <v>336323812.80153596</v>
      </c>
      <c r="CG24" s="444">
        <f>VLOOKUP(AO24,COSTOS!$A$7:$I$60,4,FALSE)</f>
        <v>70582.42240000001</v>
      </c>
      <c r="CH24" s="444">
        <f>VLOOKUP(AO24,COSTOS!$A$7:$I$60,5,FALSE)</f>
        <v>29908</v>
      </c>
      <c r="CI24" s="444">
        <f t="shared" si="20"/>
        <v>100490.42240000001</v>
      </c>
      <c r="CJ24" s="444">
        <f t="shared" si="25"/>
        <v>137470897.84320003</v>
      </c>
      <c r="CK24" s="444">
        <f t="shared" si="21"/>
        <v>248554060.16419384</v>
      </c>
      <c r="CL24" s="444">
        <f t="shared" si="22"/>
        <v>360960875.82996482</v>
      </c>
      <c r="CM24" s="444">
        <f t="shared" si="23"/>
        <v>189551475.57804158</v>
      </c>
      <c r="CN24" s="445" t="str">
        <f>IF(VLOOKUP(C24,'H2-CONDUCTORES DE BT'!$D$19:$BH$499,23,FALSE)="AÉREO","SI","NO")</f>
        <v>SI</v>
      </c>
      <c r="CO24" s="446"/>
      <c r="CP24" s="446"/>
      <c r="CQ24" s="446"/>
      <c r="CR24" s="446"/>
    </row>
    <row r="25" spans="1:96" s="408" customFormat="1" ht="25.5" customHeight="1" x14ac:dyDescent="0.25">
      <c r="A25" s="372">
        <f>+IF(OR(AL25=0,AL25=1),0,COUNTIF(AL$21:AL25,AL25))</f>
        <v>4</v>
      </c>
      <c r="B25" s="532" t="s">
        <v>1276</v>
      </c>
      <c r="C25" s="417" t="str">
        <f>+VLOOKUP(A25,'H2-CONDUCTORES DE BT'!$B$15:$CE$149,3,FALSE)</f>
        <v>TBT-DT-97</v>
      </c>
      <c r="D25" s="418" t="str">
        <f>+VLOOKUP(C25,'H2-CONDUCTORES DE BT'!$D$2:$BL$155,2,FALSE)</f>
        <v>TABLERO BAJA TENSIÓN (EXISTENTE)</v>
      </c>
      <c r="E25" s="419">
        <f>+VLOOKUP(C25,'H2-CONDUCTORES DE BT'!$D$2:$BL$155,6,FALSE)</f>
        <v>114.61</v>
      </c>
      <c r="F25" s="420" t="str">
        <f>+VLOOKUP(C25,'H2-CONDUCTORES DE BT'!$D$2:$BL$155,7,FALSE)</f>
        <v>kVA</v>
      </c>
      <c r="G25" s="421">
        <f>+VLOOKUP(C25,'H2-CONDUCTORES DE BT'!$D$2:$BL$155,8,FALSE)</f>
        <v>480</v>
      </c>
      <c r="H25" s="422">
        <f>+VLOOKUP(C25,'H2-CONDUCTORES DE BT'!$D$2:$BL$155,9,FALSE)</f>
        <v>3</v>
      </c>
      <c r="I25" s="423">
        <f>+VLOOKUP(C25,'H2-CONDUCTORES DE BT'!$D$2:$BL$155,10,FALSE)</f>
        <v>0.79600000000000004</v>
      </c>
      <c r="J25" s="461">
        <f>+VLOOKUP(C25,'H2-CONDUCTORES DE BT'!$D$2:$BL$155,28,FALSE)</f>
        <v>192</v>
      </c>
      <c r="K25" s="425">
        <f>+VLOOKUP(C25,'H2-CONDUCTORES DE BT'!$D$2:$BL$155,11,FALSE)</f>
        <v>0.94099999999999995</v>
      </c>
      <c r="L25" s="342">
        <f>+VLOOKUP(C25,'H2-CONDUCTORES DE BT'!$D$2:$BL$155,4,FALSE)</f>
        <v>15</v>
      </c>
      <c r="M25" s="426">
        <f t="shared" si="0"/>
        <v>2</v>
      </c>
      <c r="N25" s="427" t="str">
        <f>IF(VLOOKUP(C25,'H2-CONDUCTORES DE BT'!$D$2:$BL$155,40,FALSE)="Cu",VLOOKUP(C25,'H2-CONDUCTORES DE BT'!$D$2:$BL$155,36,FALSE),VLOOKUP(C25,'H2-CONDUCTORES DE BT'!$D$2:$BL$155,55,FALSE))</f>
        <v>2/0 AWG</v>
      </c>
      <c r="O25" s="428" t="str">
        <f>IF(VLOOKUP(C25,'H2-CONDUCTORES DE BT'!$D$15:$BH$499,23,FALSE)="AÉREO","Al","Cu")</f>
        <v>Cu</v>
      </c>
      <c r="P25" s="429"/>
      <c r="Q25" s="430">
        <f>IF(O25="Al",VLOOKUP(C25,'PÉRDIDAS ECONO Al'!$D$15:$Y$507,15,FALSE),CK25)</f>
        <v>7680487.3697391655</v>
      </c>
      <c r="R25" s="430">
        <f>IF(O25="Al",VLOOKUP(C25,'PÉRDIDAS ECONO Al'!$D$15:$Y$507,16,FALSE),CL25)</f>
        <v>9021001.5367599651</v>
      </c>
      <c r="S25" s="430">
        <f>IF(O25="Al",VLOOKUP(C25,'PÉRDIDAS ECONO Al'!$D$15:$Y$507,17,FALSE),CM25)</f>
        <v>7767523.1389854774</v>
      </c>
      <c r="T25" s="462">
        <f>IF(O25="Al",VLOOKUP(C25,'PÉRDIDAS ECONO Al'!$D$15:$Y$507,18,FALSE),IF(AM25="Monopolar",ROUNDUP((AQ25/450.3),0),ROUNDUP((AQ25/456.17),0)))</f>
        <v>1</v>
      </c>
      <c r="U25" s="430" t="str">
        <f>IF(O25="Al",VLOOKUP(C25,'PÉRDIDAS ECONO Al'!$D$15:$Y$507,19,FALSE),AW25)</f>
        <v>250 kcmil</v>
      </c>
      <c r="V25" s="463">
        <f>IF(O25="Al",VLOOKUP(C25,'PÉRDIDAS ECONO Al'!$D$15:$Y$507,20,FALSE),IF(AM25="Monopolar",ROUNDUP((AQ25/450.3),0),ROUNDUP((AQ25/456.17),0)))</f>
        <v>1</v>
      </c>
      <c r="W25" s="430" t="str">
        <f>IF(O25="Al",VLOOKUP(C25,'PÉRDIDAS ECONO Al'!$D$15:$Y$507,21,FALSE),AY25)</f>
        <v>350 kcmil</v>
      </c>
      <c r="X25" s="432" t="str">
        <f>IF(O25="Al",VLOOKUP(C25,'PÉRDIDAS ECONO Al'!$D$15:$Y$507,22,FALSE),IF(MIN(Q25:S25)=S25,"OPCIÓN TÉCNICA",IF(MIN(Q25:S25)=R25,"OPCIÓN 2","OPCIÓN 1")))</f>
        <v>OPCIÓN 1</v>
      </c>
      <c r="Y25" s="392"/>
      <c r="Z25" s="392"/>
      <c r="AA25" s="392"/>
      <c r="AB25" s="392"/>
      <c r="AC25" s="392"/>
      <c r="AD25" s="392"/>
      <c r="AE25" s="392"/>
      <c r="AF25" s="392"/>
      <c r="AG25" s="392"/>
      <c r="AH25" s="343">
        <f>+VLOOKUP(C25,'H2-CONDUCTORES DE BT'!$D$2:$BL$155,37,FALSE)</f>
        <v>2</v>
      </c>
      <c r="AI25" s="343" t="str">
        <f>+VLOOKUP(C25,'H2-CONDUCTORES DE BT'!$D$2:$BL$155,36,FALSE)</f>
        <v>2/0 AWG</v>
      </c>
      <c r="AJ25" s="343">
        <f>IF(AM25="Multiconductor","N/A",IF(VLOOKUP(C25,'H2-CONDUCTORES DE BT'!$D$2:$BL$155,50,FALSE)&lt;&gt;1,VLOOKUP(C25,'H2-CONDUCTORES DE BT'!$D$2:$BL$155,50,FALSE),IF(VLOOKUP(C25,'H2-CONDUCTORES DE BT'!$D$2:$BL$155,23,FALSE)="BANDEJA",1,IF(VLOOKUP(C25,'H2-CONDUCTORES DE BT'!$D$2:$BL$155,24,FALSE)&lt;&gt;3,IF(((VLOOKUP(C25,'H2-CONDUCTORES DE BT'!$D$2:$BL$155,24,FALSE))/3)=AH25,1),VLOOKUP(C25,'H2-CONDUCTORES DE BT'!$D$2:$BL$155,37,FALSE)))))</f>
        <v>2</v>
      </c>
      <c r="AK25" s="343" t="str">
        <f>IF(AM25="Multiconductor","N/A",(IF((VLOOKUP(C25,'H2-CONDUCTORES DE BT'!$D$2:$BL$155,40,FALSE))="Al",IF((VLOOKUP(C25,'H2-CONDUCTORES DE BT'!$D$2:$BL$155,51,FALSE))="No",LOOKUP((VLOOKUP(C25,'H2-CONDUCTORES DE BT'!$D$2:$BL$155,16,FALSE)),CONDUCTORES!$A$111:$A$131,CONDUCTORES!$C$111:$C$131),(VLOOKUP(C25,'H2-CONDUCTORES DE BT'!$D$2:$BL$155,51,FALSE))),IF((VLOOKUP(C25,'H2-CONDUCTORES DE BT'!$D$2:$BL$155,51,FALSE))="No",LOOKUP((VLOOKUP(C25,'H2-CONDUCTORES DE BT'!$D$2:$BL$155,16,FALSE)),CONDUCTORES!$A$111:$A$131,CONDUCTORES!$B$111:$B$131),(VLOOKUP(C25,'H2-CONDUCTORES DE BT'!$D$2:$BL$155,51,FALSE))))))</f>
        <v>4 AWG</v>
      </c>
      <c r="AL25" s="340">
        <f t="shared" si="1"/>
        <v>2</v>
      </c>
      <c r="AM25" s="464" t="str">
        <f>+VLOOKUP(C25,'H2-CONDUCTORES DE BT'!$D$2:$BL$155,38,FALSE)</f>
        <v>Monopolar</v>
      </c>
      <c r="AN25" s="531" t="str">
        <f>IF(AM25="Monopolar","N/A",VLOOKUP(C25,'H2-CONDUCTORES DE BT'!$D$2:$BL$192,39,FALSE))</f>
        <v>N/A</v>
      </c>
      <c r="AO25" s="437">
        <f>+VLOOKUP(C25,'H2-CONDUCTORES DE BT'!$D$2:$CL$492,70,FALSE)</f>
        <v>8</v>
      </c>
      <c r="AP25" s="434">
        <f>(VLOOKUP(AO25,CONDUCTORES!$A$9:$G$62,6,FALSE))*(AH25)</f>
        <v>282.60000000000002</v>
      </c>
      <c r="AQ25" s="434">
        <f t="shared" si="2"/>
        <v>212.42917819648025</v>
      </c>
      <c r="AR25" s="434" t="str">
        <f>+IF(T25=1,"N/A",IF((AQ25/T25)&lt;CONDUCTORES!$F$9,CONDUCTORES!$F$9,IF((AQ25/T25)&lt;CONDUCTORES!$F$10,CONDUCTORES!$F$10,IF((AQ25/T25)&lt;CONDUCTORES!$F$11,CONDUCTORES!$F$11,IF((AQ25/T25)&lt;CONDUCTORES!$F$12,CONDUCTORES!$F$12,IF((AQ25/T25)&lt;CONDUCTORES!$F$13,CONDUCTORES!$F$13,IF((AQ25/T25)&lt;CONDUCTORES!$F$14,CONDUCTORES!$F$14,IF((AQ25/T25)&lt;CONDUCTORES!$F$15,CONDUCTORES!$F$15,IF((AQ25/T25)&lt;CONDUCTORES!$F$16,CONDUCTORES!$F$16,IF((AQ25/T25)&lt;CONDUCTORES!$F$17,CONDUCTORES!$F$17,IF((AQ25/T25)&lt;CONDUCTORES!$F$18,CONDUCTORES!$F$18,IF((AQ25/T25)&lt;CONDUCTORES!$F$19,CONDUCTORES!$F$19,IF((AQ25/T25)&lt;CONDUCTORES!$F$20,CONDUCTORES!$F$20,IF((AQ25/T25)&lt;CONDUCTORES!$F$21,CONDUCTORES!$F$21,IF((AQ25/T25)&lt;CONDUCTORES!$F$22,CONDUCTORES!$F$22,CONDUCTORES!$F$23)))))))))))))))</f>
        <v>N/A</v>
      </c>
      <c r="AS25" s="435">
        <f>IF(AN25="2/C  -",IF(AQ25&lt;CONDUCTORES!$F$24,CONDUCTORES!$F$24,IF(AQ25&lt;CONDUCTORES!$F$27,CONDUCTORES!$F$27,IF(AQ25&lt;CONDUCTORES!$F$30,CONDUCTORES!$F$30,IF(AQ25&lt;CONDUCTORES!$F$33,CONDUCTORES!$F$33,IF(AQ25&lt;CONDUCTORES!$F$36,CONDUCTORES!$F$36,IF(AQ25&lt;CONDUCTORES!$F$39,CONDUCTORES!$F$39,IF(AQ25&lt;CONDUCTORES!$F$42,CONDUCTORES!$F$42,IF(AQ25&lt;CONDUCTORES!$F$45,CONDUCTORES!$F$45,IF(AQ25&lt;CONDUCTORES!$F$48,CONDUCTORES!$F$48,IF(AQ25&lt;CONDUCTORES!$F$51,CONDUCTORES!$F$51,IF(AQ25&lt;CONDUCTORES!$F$54,CONDUCTORES!$F$54,IF(AQ25&lt;CONDUCTORES!$F$57,CONDUCTORES!$F$57,CONDUCTORES!$F$60)))))))))))),0)</f>
        <v>0</v>
      </c>
      <c r="AT25" s="435">
        <f>IF(AN25="3/C  -",IF(AQ25&lt;CONDUCTORES!$F$25,CONDUCTORES!$F$25,IF(AQ25&lt;CONDUCTORES!$F$28,CONDUCTORES!$F$28,IF(AQ25&lt;CONDUCTORES!$F$31,CONDUCTORES!$F$31,IF(AQ25&lt;CONDUCTORES!$F$34,CONDUCTORES!$F$34,IF(AQ25&lt;CONDUCTORES!$F$37,CONDUCTORES!$F$37,IF(AQ25&lt;CONDUCTORES!$F$40,CONDUCTORES!$F$40,IF(AQ25&lt;CONDUCTORES!$F$43,CONDUCTORES!$F$43,IF(AQ25&lt;CONDUCTORES!$F$46,CONDUCTORES!$F$46,IF(AQ25&lt;CONDUCTORES!$F$49,CONDUCTORES!$F$49,IF(AQ25&lt;CONDUCTORES!$F$52,CONDUCTORES!$F$52,IF(AQ25&lt;CONDUCTORES!$F$55,CONDUCTORES!$F$55,IF(AQ25&lt;CONDUCTORES!$F$58,CONDUCTORES!$F$58,CONDUCTORES!$F$61)))))))))))),0)</f>
        <v>0</v>
      </c>
      <c r="AU25" s="435">
        <f>IF(AN25="4/C  -",IF(AQ25&lt;CONDUCTORES!$F$26,CONDUCTORES!$F$26,IF(AQ25&lt;CONDUCTORES!$F$29,CONDUCTORES!$F$29,IF(AQ25&lt;CONDUCTORES!$F$32,CONDUCTORES!$F$32,IF(AQ25&lt;CONDUCTORES!$F$35,CONDUCTORES!$F$35,IF(AQ25&lt;CONDUCTORES!$F$38,CONDUCTORES!$F$38,IF(AQ25&lt;CONDUCTORES!$F$41,CONDUCTORES!$F$41,IF(AQ25&lt;CONDUCTORES!$F$44,CONDUCTORES!$F$44,IF(AQ25&lt;CONDUCTORES!$F$47,CONDUCTORES!$F$47,IF(AQ25&lt;CONDUCTORES!$F$50,CONDUCTORES!$F$50,IF(AQ25&lt;CONDUCTORES!$F$53,CONDUCTORES!$F$53,IF(AQ25&lt;CONDUCTORES!$F$56,CONDUCTORES!$F$56,IF(AQ25&lt;CONDUCTORES!$F$59,CONDUCTORES!$F$59,CONDUCTORES!$F$62)))))))))))),0)</f>
        <v>0</v>
      </c>
      <c r="AV25" s="436">
        <f>IF(AM25="Multiconductor",IF(AN25="2/C  -",AS25,IF(AN25="3/C  -",AT25,IF(AN25="4/C  -",AU25,"NO SE CÁLCULO, REVISAR"))),IF(AQ25&lt;CONDUCTORES!$F$9,CONDUCTORES!$F$9,IF(AQ25&lt;CONDUCTORES!$F$10,CONDUCTORES!$F$10,IF(AQ25&lt;CONDUCTORES!$F$11,CONDUCTORES!$F$11,IF(AQ25&lt;CONDUCTORES!$F$12,CONDUCTORES!$F$12,IF(AQ25&lt;CONDUCTORES!$F$13,CONDUCTORES!$F$13,IF(AQ25&lt;CONDUCTORES!$F$14,CONDUCTORES!$F$14,IF(AQ25&lt;CONDUCTORES!$F$15,CONDUCTORES!$F$15,IF(AQ25&lt;CONDUCTORES!$F$16,CONDUCTORES!$F$16,IF(AQ25&lt;CONDUCTORES!$F$17,CONDUCTORES!$F$17,IF(AQ25&lt;CONDUCTORES!$F$18,CONDUCTORES!$F$18,IF(AQ25&lt;CONDUCTORES!$F$19,CONDUCTORES!$F$19,IF(AQ25&lt;CONDUCTORES!$F$20,CONDUCTORES!$F$20,IF(AQ25&lt;CONDUCTORES!$F$21,CONDUCTORES!$F$21,IF(AQ25&lt;CONDUCTORES!$F$22,CONDUCTORES!$F$22,CONDUCTORES!$F$23)))))))))))))))</f>
        <v>251.9</v>
      </c>
      <c r="AW25" s="437" t="str">
        <f>IF(AM25="Multiconductor",VLOOKUP(IF(T25=1,AV25,AR25),CONDUCTORES!$F$24:$AG$62,23,FALSE),VLOOKUP(IF(T25=1,AV25,AR25),CONDUCTORES!$F$9:$AF$23,23,FALSE))</f>
        <v>250 kcmil</v>
      </c>
      <c r="AX25" s="437">
        <f>IF(AM25="Multiconductor",VLOOKUP(AV25,CONDUCTORES!$F$24:$AG$62,19,FALSE),VLOOKUP(AW25,CONDUCTORES!$B$9:$X$23,23,FALSE))</f>
        <v>11</v>
      </c>
      <c r="AY25" s="437" t="str">
        <f>+VLOOKUP(AW25,CONDUCTORES!$B$9:$BB$23,32,FALSE)</f>
        <v>350 kcmil</v>
      </c>
      <c r="AZ25" s="437">
        <f>IF(AM25="Multiconductor",AX25+3,VLOOKUP(AY25,CONDUCTORES!$B$9:$X$23,23,FALSE))</f>
        <v>12</v>
      </c>
      <c r="BA25" s="438">
        <f t="shared" si="3"/>
        <v>192</v>
      </c>
      <c r="BB25" s="502">
        <f t="shared" si="24"/>
        <v>22691.960428119746</v>
      </c>
      <c r="BC25" s="439">
        <f t="shared" si="4"/>
        <v>1.8349999999999999E-8</v>
      </c>
      <c r="BD25" s="437">
        <f t="shared" si="5"/>
        <v>1.0373782938022442</v>
      </c>
      <c r="BE25" s="440">
        <f>VLOOKUP(AO25,COSTOS!$A$7:$Z$94,7,FALSE)</f>
        <v>398.74734607218682</v>
      </c>
      <c r="BF25" s="437">
        <f>((2.5)/(18*LN((VLOOKUP(N25,CONDUCTORES!$B$9:$AF$23,24,FALSE))/(VLOOKUP(N25,CONDUCTORES!$B$9:$D$23,3,FALSE)))))*-0.000000001</f>
        <v>5.8926535293154483E-11</v>
      </c>
      <c r="BG25" s="437">
        <f t="shared" si="6"/>
        <v>5.1182854146240435E-6</v>
      </c>
      <c r="BH25" s="437">
        <f>(0.12)*(5000)*(LN((VLOOKUP(N25,CONDUCTORES!$B$9:$AF$23,24,FALSE))/(VLOOKUP(N25,CONDUCTORES!$B$9:$D$23,3,FALSE))))</f>
        <v>-1414.1902780938522</v>
      </c>
      <c r="BI25" s="437">
        <f>+($BE$3)-(((J25^2)*(VLOOKUP(N25,CONDUCTORES!$B$9:$K$23,7,FALSE)))+(0.5*BG25))*(BH25)</f>
        <v>17932681.942955174</v>
      </c>
      <c r="BJ25" s="441">
        <f t="shared" si="7"/>
        <v>69938.381577525171</v>
      </c>
      <c r="BK25" s="437">
        <f>+SQRT(((8*PI()*60)/(VLOOKUP(N25,CONDUCTORES!$B$9:$K$23,7,FALSE)))*(0.0000001)*(1))</f>
        <v>2.0937709714824282E-2</v>
      </c>
      <c r="BL25" s="437">
        <f>+SQRT(((8*PI()*60)/(VLOOKUP(N25,CONDUCTORES!$B$9:$K$23,7,FALSE)))*(0.0000001)*(1))</f>
        <v>2.0937709714824282E-2</v>
      </c>
      <c r="BM25" s="442">
        <f>((BL25^4)/((192)+((0.8)*(BL25^4))))*(((VLOOKUP(N25,CONDUCTORES!$B$9:$K$23,7,FALSE))/(1))^2)*(2.9)</f>
        <v>3.4346223288287672E-10</v>
      </c>
      <c r="BN25" s="442">
        <f t="shared" si="8"/>
        <v>1.0009571089882235E-9</v>
      </c>
      <c r="BO25" s="437">
        <f t="shared" si="9"/>
        <v>3.73782924075729E-2</v>
      </c>
      <c r="BP25" s="437">
        <v>0</v>
      </c>
      <c r="BQ25" s="434">
        <f>(IF(AM25="Multiconductor",VLOOKUP(AX25,CONDUCTORES!$A$24:$G$62,6,FALSE),VLOOKUP(AW25,CONDUCTORES!$B$9:$F$23,5,FALSE)))*(T25)</f>
        <v>251.9</v>
      </c>
      <c r="BR25" s="434">
        <f>(IF(AM25="Multiconductor",VLOOKUP(AZ25,CONDUCTORES!$A$24:$G$62,6,FALSE),VLOOKUP(AY25,CONDUCTORES!$B$9:$F$23,5,FALSE)))*(T25)</f>
        <v>333.3</v>
      </c>
      <c r="BS25" s="443">
        <f t="shared" si="10"/>
        <v>8.5393241806813925E-5</v>
      </c>
      <c r="BT25" s="443">
        <f t="shared" si="11"/>
        <v>6.4538126646073902E-5</v>
      </c>
      <c r="BU25" s="443">
        <f t="shared" si="12"/>
        <v>7.6116622827800525E-5</v>
      </c>
      <c r="BV25" s="444">
        <f t="shared" si="13"/>
        <v>1071492.7457391662</v>
      </c>
      <c r="BW25" s="444">
        <f t="shared" si="14"/>
        <v>809808.04875996406</v>
      </c>
      <c r="BX25" s="444">
        <f t="shared" si="15"/>
        <v>955092.08298547764</v>
      </c>
      <c r="BY25" s="444">
        <f>VLOOKUP(AX25,COSTOS!$A$7:$I$60,4,FALSE)</f>
        <v>86097.547200000001</v>
      </c>
      <c r="BZ25" s="444">
        <f>VLOOKUP(AX25,COSTOS!$A$7:$I$60,5,FALSE)</f>
        <v>60769</v>
      </c>
      <c r="CA25" s="444">
        <f t="shared" si="16"/>
        <v>146866.5472</v>
      </c>
      <c r="CB25" s="444">
        <f t="shared" si="17"/>
        <v>6608994.6239999998</v>
      </c>
      <c r="CC25" s="444">
        <f>VLOOKUP(AZ25,COSTOS!$A$7:$I$60,4,FALSE)</f>
        <v>121701.96640000002</v>
      </c>
      <c r="CD25" s="444">
        <f>VLOOKUP(AZ25,COSTOS!$A$7:$I$60,5,FALSE)</f>
        <v>60769</v>
      </c>
      <c r="CE25" s="444">
        <f t="shared" si="18"/>
        <v>182470.96640000003</v>
      </c>
      <c r="CF25" s="444">
        <f t="shared" si="19"/>
        <v>8211193.4880000008</v>
      </c>
      <c r="CG25" s="444">
        <f>VLOOKUP(AO25,COSTOS!$A$7:$I$60,4,FALSE)</f>
        <v>45785.678400000004</v>
      </c>
      <c r="CH25" s="444">
        <f>VLOOKUP(AO25,COSTOS!$A$7:$I$60,5,FALSE)</f>
        <v>29908</v>
      </c>
      <c r="CI25" s="444">
        <f t="shared" si="20"/>
        <v>75693.678400000004</v>
      </c>
      <c r="CJ25" s="444">
        <f t="shared" si="25"/>
        <v>6812431.0559999999</v>
      </c>
      <c r="CK25" s="444">
        <f t="shared" si="21"/>
        <v>7680487.3697391655</v>
      </c>
      <c r="CL25" s="444">
        <f t="shared" si="22"/>
        <v>9021001.5367599651</v>
      </c>
      <c r="CM25" s="444">
        <f t="shared" si="23"/>
        <v>7767523.1389854774</v>
      </c>
      <c r="CN25" s="445" t="str">
        <f>IF(VLOOKUP(C25,'H2-CONDUCTORES DE BT'!$D$19:$BH$499,23,FALSE)="AÉREO","SI","NO")</f>
        <v>NO</v>
      </c>
      <c r="CO25" s="446"/>
      <c r="CP25" s="446"/>
      <c r="CQ25" s="446"/>
      <c r="CR25" s="446"/>
    </row>
    <row r="26" spans="1:96" s="408" customFormat="1" ht="25.5" customHeight="1" x14ac:dyDescent="0.25">
      <c r="A26" s="372">
        <f>+IF(OR(AL26=0,AL26=1),0,COUNTIF(AL$21:AL26,AL26))</f>
        <v>5</v>
      </c>
      <c r="B26" s="532" t="s">
        <v>1277</v>
      </c>
      <c r="C26" s="417" t="str">
        <f>+VLOOKUP(A26,'H2-CONDUCTORES DE BT'!$B$15:$CE$149,3,FALSE)</f>
        <v>VFD-DT-58</v>
      </c>
      <c r="D26" s="418" t="str">
        <f>+VLOOKUP(C26,'H2-CONDUCTORES DE BT'!$D$2:$BL$155,2,FALSE)</f>
        <v>VARIADOR DE FRECUENCIA (PROYECTADO)</v>
      </c>
      <c r="E26" s="539">
        <f>+VLOOKUP(C26,'H2-CONDUCTORES DE BT'!$D$2:$BL$155,6,FALSE)</f>
        <v>62.53</v>
      </c>
      <c r="F26" s="420" t="str">
        <f>+VLOOKUP(C26,'H2-CONDUCTORES DE BT'!$D$2:$BL$155,7,FALSE)</f>
        <v>kVA</v>
      </c>
      <c r="G26" s="421">
        <f>+VLOOKUP(C26,'H2-CONDUCTORES DE BT'!$D$2:$BL$155,8,FALSE)</f>
        <v>480</v>
      </c>
      <c r="H26" s="422">
        <f>+VLOOKUP(C26,'H2-CONDUCTORES DE BT'!$D$2:$BL$155,9,FALSE)</f>
        <v>3</v>
      </c>
      <c r="I26" s="423">
        <f>+VLOOKUP(C26,'H2-CONDUCTORES DE BT'!$D$2:$BL$155,10,FALSE)</f>
        <v>0.79600000000000004</v>
      </c>
      <c r="J26" s="461">
        <f>+VLOOKUP(C26,'H2-CONDUCTORES DE BT'!$D$2:$BL$155,28,FALSE)</f>
        <v>135</v>
      </c>
      <c r="K26" s="425">
        <f>+VLOOKUP(C26,'H2-CONDUCTORES DE BT'!$D$2:$BL$155,11,FALSE)</f>
        <v>0.94099999999999995</v>
      </c>
      <c r="L26" s="342">
        <f>+VLOOKUP(C26,'H2-CONDUCTORES DE BT'!$D$2:$BL$155,4,FALSE)</f>
        <v>5</v>
      </c>
      <c r="M26" s="426">
        <f t="shared" si="0"/>
        <v>1</v>
      </c>
      <c r="N26" s="427" t="str">
        <f>IF(VLOOKUP(C26,'H2-CONDUCTORES DE BT'!$D$2:$BL$155,40,FALSE)="Cu",VLOOKUP(C26,'H2-CONDUCTORES DE BT'!$D$2:$BL$155,36,FALSE),VLOOKUP(C26,'H2-CONDUCTORES DE BT'!$D$2:$BL$155,55,FALSE))</f>
        <v>1/0 AWG</v>
      </c>
      <c r="O26" s="428" t="str">
        <f>IF(VLOOKUP(C26,'H2-CONDUCTORES DE BT'!$D$15:$BH$499,23,FALSE)="AÉREO","Al","Cu")</f>
        <v>Cu</v>
      </c>
      <c r="P26" s="429"/>
      <c r="Q26" s="430">
        <f>IF(O26="Al",VLOOKUP(C26,'PÉRDIDAS ECONO Al'!$D$15:$Y$507,15,FALSE),CK26)</f>
        <v>1578503.2206183528</v>
      </c>
      <c r="R26" s="430">
        <f>IF(O26="Al",VLOOKUP(C26,'PÉRDIDAS ECONO Al'!$D$15:$Y$507,16,FALSE),CL26)</f>
        <v>1723271.3314019833</v>
      </c>
      <c r="S26" s="430">
        <f>IF(O26="Al",VLOOKUP(C26,'PÉRDIDAS ECONO Al'!$D$15:$Y$507,17,FALSE),CM26)</f>
        <v>1371189.70283967</v>
      </c>
      <c r="T26" s="462">
        <f>IF(O26="Al",VLOOKUP(C26,'PÉRDIDAS ECONO Al'!$D$15:$Y$507,18,FALSE),IF(AM26="Monopolar",ROUNDUP((AQ26/450.3),0),ROUNDUP((AQ26/456.17),0)))</f>
        <v>1</v>
      </c>
      <c r="U26" s="430" t="str">
        <f>IF(O26="Al",VLOOKUP(C26,'PÉRDIDAS ECONO Al'!$D$15:$Y$507,19,FALSE),AW26)</f>
        <v>3/0 AWG</v>
      </c>
      <c r="V26" s="463">
        <f>IF(O26="Al",VLOOKUP(C26,'PÉRDIDAS ECONO Al'!$D$15:$Y$507,20,FALSE),IF(AM26="Monopolar",ROUNDUP((AQ26/450.3),0),ROUNDUP((AQ26/456.17),0)))</f>
        <v>1</v>
      </c>
      <c r="W26" s="430" t="str">
        <f>IF(O26="Al",VLOOKUP(C26,'PÉRDIDAS ECONO Al'!$D$15:$Y$507,21,FALSE),AY26)</f>
        <v>4/0 AWG</v>
      </c>
      <c r="X26" s="432" t="str">
        <f>IF(O26="Al",VLOOKUP(C26,'PÉRDIDAS ECONO Al'!$D$15:$Y$507,22,FALSE),IF(MIN(Q26:S26)=S26,"OPCIÓN TÉCNICA",IF(MIN(Q26:S26)=R26,"OPCIÓN 2","OPCIÓN 1")))</f>
        <v>OPCIÓN TÉCNICA</v>
      </c>
      <c r="Y26" s="392"/>
      <c r="Z26" s="392"/>
      <c r="AA26" s="392"/>
      <c r="AB26" s="392"/>
      <c r="AC26" s="392"/>
      <c r="AD26" s="392"/>
      <c r="AE26" s="392"/>
      <c r="AF26" s="392"/>
      <c r="AG26" s="392"/>
      <c r="AH26" s="343">
        <f>+VLOOKUP(C26,'H2-CONDUCTORES DE BT'!$D$2:$BL$155,37,FALSE)</f>
        <v>1</v>
      </c>
      <c r="AI26" s="343" t="str">
        <f>+VLOOKUP(C26,'H2-CONDUCTORES DE BT'!$D$2:$BL$155,36,FALSE)</f>
        <v>1/0 AWG</v>
      </c>
      <c r="AJ26" s="343">
        <f>IF(AM26="Multiconductor","N/A",IF(VLOOKUP(C26,'H2-CONDUCTORES DE BT'!$D$2:$BL$155,50,FALSE)&lt;&gt;1,VLOOKUP(C26,'H2-CONDUCTORES DE BT'!$D$2:$BL$155,50,FALSE),IF(VLOOKUP(C26,'H2-CONDUCTORES DE BT'!$D$2:$BL$155,23,FALSE)="BANDEJA",1,IF(VLOOKUP(C26,'H2-CONDUCTORES DE BT'!$D$2:$BL$155,24,FALSE)&lt;&gt;3,IF(((VLOOKUP(C26,'H2-CONDUCTORES DE BT'!$D$2:$BL$155,24,FALSE))/3)=AH26,1),VLOOKUP(C26,'H2-CONDUCTORES DE BT'!$D$2:$BL$155,37,FALSE)))))</f>
        <v>1</v>
      </c>
      <c r="AK26" s="343" t="str">
        <f>IF(AM26="Multiconductor","N/A",(IF((VLOOKUP(C26,'H2-CONDUCTORES DE BT'!$D$2:$BL$155,40,FALSE))="Al",IF((VLOOKUP(C26,'H2-CONDUCTORES DE BT'!$D$2:$BL$155,51,FALSE))="No",LOOKUP((VLOOKUP(C26,'H2-CONDUCTORES DE BT'!$D$2:$BL$155,16,FALSE)),CONDUCTORES!$A$111:$A$131,CONDUCTORES!$C$111:$C$131),(VLOOKUP(C26,'H2-CONDUCTORES DE BT'!$D$2:$BL$155,51,FALSE))),IF((VLOOKUP(C26,'H2-CONDUCTORES DE BT'!$D$2:$BL$155,51,FALSE))="No",LOOKUP((VLOOKUP(C26,'H2-CONDUCTORES DE BT'!$D$2:$BL$155,16,FALSE)),CONDUCTORES!$A$111:$A$131,CONDUCTORES!$B$111:$B$131),(VLOOKUP(C26,'H2-CONDUCTORES DE BT'!$D$2:$BL$155,51,FALSE))))))</f>
        <v>4 AWG</v>
      </c>
      <c r="AL26" s="340">
        <f t="shared" si="1"/>
        <v>2</v>
      </c>
      <c r="AM26" s="464" t="str">
        <f>+VLOOKUP(C26,'H2-CONDUCTORES DE BT'!$D$2:$BL$155,38,FALSE)</f>
        <v>Monopolar</v>
      </c>
      <c r="AN26" s="531" t="str">
        <f>IF(AM26="Monopolar","N/A",VLOOKUP(C26,'H2-CONDUCTORES DE BT'!$D$2:$BL$192,39,FALSE))</f>
        <v>N/A</v>
      </c>
      <c r="AO26" s="437">
        <f>+VLOOKUP(C26,'H2-CONDUCTORES DE BT'!$D$2:$CL$492,70,FALSE)</f>
        <v>7</v>
      </c>
      <c r="AP26" s="434">
        <f>(VLOOKUP(AO26,CONDUCTORES!$A$9:$G$62,6,FALSE))*(AH26)</f>
        <v>117.7</v>
      </c>
      <c r="AQ26" s="434">
        <f t="shared" si="2"/>
        <v>142.76807448302145</v>
      </c>
      <c r="AR26" s="434" t="str">
        <f>+IF(T26=1,"N/A",IF((AQ26/T26)&lt;CONDUCTORES!$F$9,CONDUCTORES!$F$9,IF((AQ26/T26)&lt;CONDUCTORES!$F$10,CONDUCTORES!$F$10,IF((AQ26/T26)&lt;CONDUCTORES!$F$11,CONDUCTORES!$F$11,IF((AQ26/T26)&lt;CONDUCTORES!$F$12,CONDUCTORES!$F$12,IF((AQ26/T26)&lt;CONDUCTORES!$F$13,CONDUCTORES!$F$13,IF((AQ26/T26)&lt;CONDUCTORES!$F$14,CONDUCTORES!$F$14,IF((AQ26/T26)&lt;CONDUCTORES!$F$15,CONDUCTORES!$F$15,IF((AQ26/T26)&lt;CONDUCTORES!$F$16,CONDUCTORES!$F$16,IF((AQ26/T26)&lt;CONDUCTORES!$F$17,CONDUCTORES!$F$17,IF((AQ26/T26)&lt;CONDUCTORES!$F$18,CONDUCTORES!$F$18,IF((AQ26/T26)&lt;CONDUCTORES!$F$19,CONDUCTORES!$F$19,IF((AQ26/T26)&lt;CONDUCTORES!$F$20,CONDUCTORES!$F$20,IF((AQ26/T26)&lt;CONDUCTORES!$F$21,CONDUCTORES!$F$21,IF((AQ26/T26)&lt;CONDUCTORES!$F$22,CONDUCTORES!$F$22,CONDUCTORES!$F$23)))))))))))))))</f>
        <v>N/A</v>
      </c>
      <c r="AS26" s="435">
        <f>IF(AN26="2/C  -",IF(AQ26&lt;CONDUCTORES!$F$24,CONDUCTORES!$F$24,IF(AQ26&lt;CONDUCTORES!$F$27,CONDUCTORES!$F$27,IF(AQ26&lt;CONDUCTORES!$F$30,CONDUCTORES!$F$30,IF(AQ26&lt;CONDUCTORES!$F$33,CONDUCTORES!$F$33,IF(AQ26&lt;CONDUCTORES!$F$36,CONDUCTORES!$F$36,IF(AQ26&lt;CONDUCTORES!$F$39,CONDUCTORES!$F$39,IF(AQ26&lt;CONDUCTORES!$F$42,CONDUCTORES!$F$42,IF(AQ26&lt;CONDUCTORES!$F$45,CONDUCTORES!$F$45,IF(AQ26&lt;CONDUCTORES!$F$48,CONDUCTORES!$F$48,IF(AQ26&lt;CONDUCTORES!$F$51,CONDUCTORES!$F$51,IF(AQ26&lt;CONDUCTORES!$F$54,CONDUCTORES!$F$54,IF(AQ26&lt;CONDUCTORES!$F$57,CONDUCTORES!$F$57,CONDUCTORES!$F$60)))))))))))),0)</f>
        <v>0</v>
      </c>
      <c r="AT26" s="435">
        <f>IF(AN26="3/C  -",IF(AQ26&lt;CONDUCTORES!$F$25,CONDUCTORES!$F$25,IF(AQ26&lt;CONDUCTORES!$F$28,CONDUCTORES!$F$28,IF(AQ26&lt;CONDUCTORES!$F$31,CONDUCTORES!$F$31,IF(AQ26&lt;CONDUCTORES!$F$34,CONDUCTORES!$F$34,IF(AQ26&lt;CONDUCTORES!$F$37,CONDUCTORES!$F$37,IF(AQ26&lt;CONDUCTORES!$F$40,CONDUCTORES!$F$40,IF(AQ26&lt;CONDUCTORES!$F$43,CONDUCTORES!$F$43,IF(AQ26&lt;CONDUCTORES!$F$46,CONDUCTORES!$F$46,IF(AQ26&lt;CONDUCTORES!$F$49,CONDUCTORES!$F$49,IF(AQ26&lt;CONDUCTORES!$F$52,CONDUCTORES!$F$52,IF(AQ26&lt;CONDUCTORES!$F$55,CONDUCTORES!$F$55,IF(AQ26&lt;CONDUCTORES!$F$58,CONDUCTORES!$F$58,CONDUCTORES!$F$61)))))))))))),0)</f>
        <v>0</v>
      </c>
      <c r="AU26" s="435">
        <f>IF(AN26="4/C  -",IF(AQ26&lt;CONDUCTORES!$F$26,CONDUCTORES!$F$26,IF(AQ26&lt;CONDUCTORES!$F$29,CONDUCTORES!$F$29,IF(AQ26&lt;CONDUCTORES!$F$32,CONDUCTORES!$F$32,IF(AQ26&lt;CONDUCTORES!$F$35,CONDUCTORES!$F$35,IF(AQ26&lt;CONDUCTORES!$F$38,CONDUCTORES!$F$38,IF(AQ26&lt;CONDUCTORES!$F$41,CONDUCTORES!$F$41,IF(AQ26&lt;CONDUCTORES!$F$44,CONDUCTORES!$F$44,IF(AQ26&lt;CONDUCTORES!$F$47,CONDUCTORES!$F$47,IF(AQ26&lt;CONDUCTORES!$F$50,CONDUCTORES!$F$50,IF(AQ26&lt;CONDUCTORES!$F$53,CONDUCTORES!$F$53,IF(AQ26&lt;CONDUCTORES!$F$56,CONDUCTORES!$F$56,IF(AQ26&lt;CONDUCTORES!$F$59,CONDUCTORES!$F$59,CONDUCTORES!$F$62)))))))))))),0)</f>
        <v>0</v>
      </c>
      <c r="AV26" s="436">
        <f>IF(AM26="Multiconductor",IF(AN26="2/C  -",AS26,IF(AN26="3/C  -",AT26,IF(AN26="4/C  -",AU26,"NO SE CÁLCULO, REVISAR"))),IF(AQ26&lt;CONDUCTORES!$F$9,CONDUCTORES!$F$9,IF(AQ26&lt;CONDUCTORES!$F$10,CONDUCTORES!$F$10,IF(AQ26&lt;CONDUCTORES!$F$11,CONDUCTORES!$F$11,IF(AQ26&lt;CONDUCTORES!$F$12,CONDUCTORES!$F$12,IF(AQ26&lt;CONDUCTORES!$F$13,CONDUCTORES!$F$13,IF(AQ26&lt;CONDUCTORES!$F$14,CONDUCTORES!$F$14,IF(AQ26&lt;CONDUCTORES!$F$15,CONDUCTORES!$F$15,IF(AQ26&lt;CONDUCTORES!$F$16,CONDUCTORES!$F$16,IF(AQ26&lt;CONDUCTORES!$F$17,CONDUCTORES!$F$17,IF(AQ26&lt;CONDUCTORES!$F$18,CONDUCTORES!$F$18,IF(AQ26&lt;CONDUCTORES!$F$19,CONDUCTORES!$F$19,IF(AQ26&lt;CONDUCTORES!$F$20,CONDUCTORES!$F$20,IF(AQ26&lt;CONDUCTORES!$F$21,CONDUCTORES!$F$21,IF(AQ26&lt;CONDUCTORES!$F$22,CONDUCTORES!$F$22,CONDUCTORES!$F$23)))))))))))))))</f>
        <v>170.5</v>
      </c>
      <c r="AW26" s="437" t="str">
        <f>IF(AM26="Multiconductor",VLOOKUP(IF(T26=1,AV26,AR26),CONDUCTORES!$F$24:$AG$62,23,FALSE),VLOOKUP(IF(T26=1,AV26,AR26),CONDUCTORES!$F$9:$AF$23,23,FALSE))</f>
        <v>3/0 AWG</v>
      </c>
      <c r="AX26" s="437">
        <f>IF(AM26="Multiconductor",VLOOKUP(AV26,CONDUCTORES!$F$24:$AG$62,19,FALSE),VLOOKUP(AW26,CONDUCTORES!$B$9:$X$23,23,FALSE))</f>
        <v>9</v>
      </c>
      <c r="AY26" s="437" t="str">
        <f>+VLOOKUP(AW26,CONDUCTORES!$B$9:$BB$23,32,FALSE)</f>
        <v>4/0 AWG</v>
      </c>
      <c r="AZ26" s="437">
        <f>IF(AM26="Multiconductor",AX26+3,VLOOKUP(AY26,CONDUCTORES!$B$9:$X$23,23,FALSE))</f>
        <v>10</v>
      </c>
      <c r="BA26" s="438">
        <f t="shared" si="3"/>
        <v>135</v>
      </c>
      <c r="BB26" s="502">
        <f t="shared" si="24"/>
        <v>22691.960428119746</v>
      </c>
      <c r="BC26" s="439">
        <f t="shared" si="4"/>
        <v>1.8349999999999999E-8</v>
      </c>
      <c r="BD26" s="437">
        <f t="shared" si="5"/>
        <v>1.0388622431715582</v>
      </c>
      <c r="BE26" s="440">
        <f>VLOOKUP(AO26,COSTOS!$A$7:$Z$94,7,FALSE)</f>
        <v>437.06881903143585</v>
      </c>
      <c r="BF26" s="437">
        <f>((2.5)/(18*LN((VLOOKUP(N26,CONDUCTORES!$B$9:$AF$23,24,FALSE))/(VLOOKUP(N26,CONDUCTORES!$B$9:$D$23,3,FALSE)))))*-0.000000001</f>
        <v>6.1300858987958999E-11</v>
      </c>
      <c r="BG26" s="437">
        <f t="shared" si="6"/>
        <v>5.3245162116029715E-6</v>
      </c>
      <c r="BH26" s="437">
        <f>(0.12)*(5000)*(LN((VLOOKUP(N26,CONDUCTORES!$B$9:$AF$23,24,FALSE))/(VLOOKUP(N26,CONDUCTORES!$B$9:$D$23,3,FALSE))))</f>
        <v>-1359.4154259682082</v>
      </c>
      <c r="BI26" s="437">
        <f>+($BE$3)-(((J26^2)*(VLOOKUP(N26,CONDUCTORES!$B$9:$K$23,7,FALSE)))+(0.5*BG26))*(BH26)</f>
        <v>10226748.136953684</v>
      </c>
      <c r="BJ26" s="441">
        <f t="shared" si="7"/>
        <v>39885.239734119365</v>
      </c>
      <c r="BK26" s="437">
        <f>+SQRT(((8*PI()*60)/(VLOOKUP(N26,CONDUCTORES!$B$9:$K$23,7,FALSE)))*(0.0000001)*(1))</f>
        <v>1.9113426522173863E-2</v>
      </c>
      <c r="BL26" s="437">
        <f>+SQRT(((8*PI()*60)/(VLOOKUP(N26,CONDUCTORES!$B$9:$K$23,7,FALSE)))*(0.0000001)*(1))</f>
        <v>1.9113426522173863E-2</v>
      </c>
      <c r="BM26" s="442">
        <f>((BL26^4)/((192)+((0.8)*(BL26^4))))*(((VLOOKUP(N26,CONDUCTORES!$B$9:$K$23,7,FALSE))/(1))^2)*(2.9)</f>
        <v>3.4346223296691449E-10</v>
      </c>
      <c r="BN26" s="442">
        <f t="shared" si="8"/>
        <v>6.9510910363412219E-10</v>
      </c>
      <c r="BO26" s="437">
        <f t="shared" si="9"/>
        <v>3.8862242092625746E-2</v>
      </c>
      <c r="BP26" s="437">
        <v>0</v>
      </c>
      <c r="BQ26" s="434">
        <f>(IF(AM26="Multiconductor",VLOOKUP(AX26,CONDUCTORES!$A$24:$G$62,6,FALSE),VLOOKUP(AW26,CONDUCTORES!$B$9:$F$23,5,FALSE)))*(T26)</f>
        <v>170.5</v>
      </c>
      <c r="BR26" s="434">
        <f>(IF(AM26="Multiconductor",VLOOKUP(AZ26,CONDUCTORES!$A$24:$G$62,6,FALSE),VLOOKUP(AY26,CONDUCTORES!$B$9:$F$23,5,FALSE)))*(T26)</f>
        <v>206.3</v>
      </c>
      <c r="BS26" s="443">
        <f t="shared" si="10"/>
        <v>1.2634209996060904E-4</v>
      </c>
      <c r="BT26" s="443">
        <f t="shared" si="11"/>
        <v>1.0441748930336325E-4</v>
      </c>
      <c r="BU26" s="443">
        <f t="shared" si="12"/>
        <v>1.8301892984948036E-4</v>
      </c>
      <c r="BV26" s="444">
        <f t="shared" si="13"/>
        <v>261250.81261835273</v>
      </c>
      <c r="BW26" s="444">
        <f t="shared" si="14"/>
        <v>215914.99540198321</v>
      </c>
      <c r="BX26" s="444">
        <f t="shared" si="15"/>
        <v>378447.43883966981</v>
      </c>
      <c r="BY26" s="444">
        <f>VLOOKUP(AX26,COSTOS!$A$7:$I$60,4,FALSE)</f>
        <v>57908.8272</v>
      </c>
      <c r="BZ26" s="444">
        <f>VLOOKUP(AX26,COSTOS!$A$7:$I$60,5,FALSE)</f>
        <v>29908</v>
      </c>
      <c r="CA26" s="444">
        <f t="shared" si="16"/>
        <v>87816.8272</v>
      </c>
      <c r="CB26" s="444">
        <f t="shared" si="17"/>
        <v>1317252.4080000001</v>
      </c>
      <c r="CC26" s="444">
        <f>VLOOKUP(AZ26,COSTOS!$A$7:$I$60,4,FALSE)</f>
        <v>70582.42240000001</v>
      </c>
      <c r="CD26" s="444">
        <f>VLOOKUP(AZ26,COSTOS!$A$7:$I$60,5,FALSE)</f>
        <v>29908</v>
      </c>
      <c r="CE26" s="444">
        <f t="shared" si="18"/>
        <v>100490.42240000001</v>
      </c>
      <c r="CF26" s="444">
        <f t="shared" si="19"/>
        <v>1507356.3360000001</v>
      </c>
      <c r="CG26" s="444">
        <f>VLOOKUP(AO26,COSTOS!$A$7:$I$60,4,FALSE)</f>
        <v>36274.817600000002</v>
      </c>
      <c r="CH26" s="444">
        <f>VLOOKUP(AO26,COSTOS!$A$7:$I$60,5,FALSE)</f>
        <v>29908</v>
      </c>
      <c r="CI26" s="444">
        <f t="shared" si="20"/>
        <v>66182.817600000009</v>
      </c>
      <c r="CJ26" s="444">
        <f t="shared" si="25"/>
        <v>992742.2640000002</v>
      </c>
      <c r="CK26" s="444">
        <f t="shared" si="21"/>
        <v>1578503.2206183528</v>
      </c>
      <c r="CL26" s="444">
        <f t="shared" si="22"/>
        <v>1723271.3314019833</v>
      </c>
      <c r="CM26" s="444">
        <f t="shared" si="23"/>
        <v>1371189.70283967</v>
      </c>
      <c r="CN26" s="445" t="str">
        <f>IF(VLOOKUP(C26,'H2-CONDUCTORES DE BT'!$D$19:$BH$499,23,FALSE)="AÉREO","SI","NO")</f>
        <v>NO</v>
      </c>
      <c r="CO26" s="446"/>
      <c r="CP26" s="446"/>
      <c r="CQ26" s="446"/>
      <c r="CR26" s="446"/>
    </row>
    <row r="27" spans="1:96" s="408" customFormat="1" ht="25.5" customHeight="1" x14ac:dyDescent="0.25">
      <c r="A27" s="372">
        <f>+IF(OR(AL27=0,AL27=1),0,COUNTIF(AL$21:AL27,AL27))</f>
        <v>6</v>
      </c>
      <c r="B27" s="532" t="s">
        <v>1278</v>
      </c>
      <c r="C27" s="417" t="str">
        <f>+VLOOKUP(A27,'H2-CONDUCTORES DE BT'!$B$15:$CE$149,3,FALSE)</f>
        <v>PCP-DT-58</v>
      </c>
      <c r="D27" s="418" t="str">
        <f>+VLOOKUP(C27,'H2-CONDUCTORES DE BT'!$D$2:$BL$155,2,FALSE)</f>
        <v>MOTOR PCP (PROYECTADO)</v>
      </c>
      <c r="E27" s="539">
        <f>+VLOOKUP(C27,'H2-CONDUCTORES DE BT'!$D$2:$BL$155,6,FALSE)</f>
        <v>62.53</v>
      </c>
      <c r="F27" s="420" t="str">
        <f>+VLOOKUP(C27,'H2-CONDUCTORES DE BT'!$D$2:$BL$155,7,FALSE)</f>
        <v>kVA</v>
      </c>
      <c r="G27" s="421">
        <f>+VLOOKUP(C27,'H2-CONDUCTORES DE BT'!$D$2:$BL$155,8,FALSE)</f>
        <v>480</v>
      </c>
      <c r="H27" s="422">
        <f>+VLOOKUP(C27,'H2-CONDUCTORES DE BT'!$D$2:$BL$155,9,FALSE)</f>
        <v>3</v>
      </c>
      <c r="I27" s="423">
        <f>+VLOOKUP(C27,'H2-CONDUCTORES DE BT'!$D$2:$BL$155,10,FALSE)</f>
        <v>0.79600000000000004</v>
      </c>
      <c r="J27" s="461">
        <f>+VLOOKUP(C27,'H2-CONDUCTORES DE BT'!$D$2:$BL$155,28,FALSE)</f>
        <v>135</v>
      </c>
      <c r="K27" s="425">
        <f>+VLOOKUP(C27,'H2-CONDUCTORES DE BT'!$D$2:$BL$155,11,FALSE)</f>
        <v>0.94099999999999995</v>
      </c>
      <c r="L27" s="342">
        <f>+VLOOKUP(C27,'H2-CONDUCTORES DE BT'!$D$2:$BL$155,4,FALSE)</f>
        <v>54</v>
      </c>
      <c r="M27" s="426">
        <f>+AH27</f>
        <v>1</v>
      </c>
      <c r="N27" s="427" t="str">
        <f>IF(VLOOKUP(C27,'H2-CONDUCTORES DE BT'!$D$2:$BL$155,40,FALSE)="Cu",VLOOKUP(C27,'H2-CONDUCTORES DE BT'!$D$2:$BL$155,36,FALSE),VLOOKUP(C27,'H2-CONDUCTORES DE BT'!$D$2:$BL$155,55,FALSE))</f>
        <v>1/0 AWG</v>
      </c>
      <c r="O27" s="428" t="str">
        <f>IF(VLOOKUP(C27,'H2-CONDUCTORES DE BT'!$D$15:$BH$499,23,FALSE)="AÉREO","Al","Cu")</f>
        <v>Cu</v>
      </c>
      <c r="P27" s="429"/>
      <c r="Q27" s="430">
        <f>IF(O27="Al",VLOOKUP(C27,'PÉRDIDAS ECONO Al'!$D$15:$Y$507,15,FALSE),CK27)</f>
        <v>17047834.782678209</v>
      </c>
      <c r="R27" s="430">
        <f>IF(O27="Al",VLOOKUP(C27,'PÉRDIDAS ECONO Al'!$D$15:$Y$507,16,FALSE),CL27)</f>
        <v>18611330.37914142</v>
      </c>
      <c r="S27" s="430">
        <f>IF(O27="Al",VLOOKUP(C27,'PÉRDIDAS ECONO Al'!$D$15:$Y$507,17,FALSE),CM27)</f>
        <v>14808848.790668435</v>
      </c>
      <c r="T27" s="462">
        <f>IF(O27="Al",VLOOKUP(C27,'PÉRDIDAS ECONO Al'!$D$15:$Y$507,18,FALSE),IF(AM27="Monopolar",ROUNDUP((AQ27/450.3),0),ROUNDUP((AQ27/456.17),0)))</f>
        <v>1</v>
      </c>
      <c r="U27" s="430" t="str">
        <f>IF(O27="Al",VLOOKUP(C27,'PÉRDIDAS ECONO Al'!$D$15:$Y$507,19,FALSE),AW27)</f>
        <v>3/0 AWG</v>
      </c>
      <c r="V27" s="463">
        <f>IF(O27="Al",VLOOKUP(C27,'PÉRDIDAS ECONO Al'!$D$15:$Y$507,20,FALSE),IF(AM27="Monopolar",ROUNDUP((AQ27/450.3),0),ROUNDUP((AQ27/456.17),0)))</f>
        <v>1</v>
      </c>
      <c r="W27" s="430" t="str">
        <f>IF(O27="Al",VLOOKUP(C27,'PÉRDIDAS ECONO Al'!$D$15:$Y$507,21,FALSE),AY27)</f>
        <v>4/0 AWG</v>
      </c>
      <c r="X27" s="432" t="str">
        <f>IF(O27="Al",VLOOKUP(C27,'PÉRDIDAS ECONO Al'!$D$15:$Y$507,22,FALSE),IF(MIN(Q27:S27)=S27,"OPCIÓN TÉCNICA",IF(MIN(Q27:S27)=R27,"OPCIÓN 2","OPCIÓN 1")))</f>
        <v>OPCIÓN TÉCNICA</v>
      </c>
      <c r="Y27" s="392"/>
      <c r="Z27" s="392"/>
      <c r="AA27" s="392"/>
      <c r="AB27" s="392"/>
      <c r="AC27" s="392"/>
      <c r="AD27" s="392"/>
      <c r="AE27" s="392"/>
      <c r="AF27" s="392"/>
      <c r="AG27" s="392"/>
      <c r="AH27" s="343">
        <f>+VLOOKUP(C27,'H2-CONDUCTORES DE BT'!$D$2:$BL$155,37,FALSE)</f>
        <v>1</v>
      </c>
      <c r="AI27" s="343" t="str">
        <f>+VLOOKUP(C27,'H2-CONDUCTORES DE BT'!$D$2:$BL$155,36,FALSE)</f>
        <v>1/0 AWG</v>
      </c>
      <c r="AJ27" s="343">
        <f>IF(AM27="Multiconductor","N/A",IF(VLOOKUP(C27,'H2-CONDUCTORES DE BT'!$D$2:$BL$155,50,FALSE)&lt;&gt;1,VLOOKUP(C27,'H2-CONDUCTORES DE BT'!$D$2:$BL$155,50,FALSE),IF(VLOOKUP(C27,'H2-CONDUCTORES DE BT'!$D$2:$BL$155,23,FALSE)="BANDEJA",1,IF(VLOOKUP(C27,'H2-CONDUCTORES DE BT'!$D$2:$BL$155,24,FALSE)&lt;&gt;3,IF(((VLOOKUP(C27,'H2-CONDUCTORES DE BT'!$D$2:$BL$155,24,FALSE))/3)=AH27,1),VLOOKUP(C27,'H2-CONDUCTORES DE BT'!$D$2:$BL$155,37,FALSE)))))</f>
        <v>1</v>
      </c>
      <c r="AK27" s="343" t="str">
        <f>IF(AM27="Multiconductor","N/A",(IF((VLOOKUP(C27,'H2-CONDUCTORES DE BT'!$D$2:$BL$155,40,FALSE))="Al",IF((VLOOKUP(C27,'H2-CONDUCTORES DE BT'!$D$2:$BL$155,51,FALSE))="No",LOOKUP((VLOOKUP(C27,'H2-CONDUCTORES DE BT'!$D$2:$BL$155,16,FALSE)),CONDUCTORES!$A$111:$A$131,CONDUCTORES!$C$111:$C$131),(VLOOKUP(C27,'H2-CONDUCTORES DE BT'!$D$2:$BL$155,51,FALSE))),IF((VLOOKUP(C27,'H2-CONDUCTORES DE BT'!$D$2:$BL$155,51,FALSE))="No",LOOKUP((VLOOKUP(C27,'H2-CONDUCTORES DE BT'!$D$2:$BL$155,16,FALSE)),CONDUCTORES!$A$111:$A$131,CONDUCTORES!$B$111:$B$131),(VLOOKUP(C27,'H2-CONDUCTORES DE BT'!$D$2:$BL$155,51,FALSE))))))</f>
        <v>4 AWG</v>
      </c>
      <c r="AL27" s="340">
        <f>LEN(B27)-LEN(SUBSTITUTE(B27,IF(ISNUMBER(FIND(".",B27)),".",","),""))</f>
        <v>2</v>
      </c>
      <c r="AM27" s="464" t="str">
        <f>+VLOOKUP(C27,'H2-CONDUCTORES DE BT'!$D$2:$BL$155,38,FALSE)</f>
        <v>Monopolar</v>
      </c>
      <c r="AN27" s="531" t="str">
        <f>IF(AM27="Monopolar","N/A",VLOOKUP(C27,'H2-CONDUCTORES DE BT'!$D$2:$BL$192,39,FALSE))</f>
        <v>N/A</v>
      </c>
      <c r="AO27" s="437">
        <f>+VLOOKUP(C27,'H2-CONDUCTORES DE BT'!$D$2:$CL$492,70,FALSE)</f>
        <v>7</v>
      </c>
      <c r="AP27" s="434">
        <f>(VLOOKUP(AO27,CONDUCTORES!$A$9:$G$62,6,FALSE))*(AH27)</f>
        <v>117.7</v>
      </c>
      <c r="AQ27" s="434">
        <f t="shared" si="2"/>
        <v>142.76807448302145</v>
      </c>
      <c r="AR27" s="434" t="str">
        <f>+IF(T27=1,"N/A",IF((AQ27/T27)&lt;CONDUCTORES!$F$9,CONDUCTORES!$F$9,IF((AQ27/T27)&lt;CONDUCTORES!$F$10,CONDUCTORES!$F$10,IF((AQ27/T27)&lt;CONDUCTORES!$F$11,CONDUCTORES!$F$11,IF((AQ27/T27)&lt;CONDUCTORES!$F$12,CONDUCTORES!$F$12,IF((AQ27/T27)&lt;CONDUCTORES!$F$13,CONDUCTORES!$F$13,IF((AQ27/T27)&lt;CONDUCTORES!$F$14,CONDUCTORES!$F$14,IF((AQ27/T27)&lt;CONDUCTORES!$F$15,CONDUCTORES!$F$15,IF((AQ27/T27)&lt;CONDUCTORES!$F$16,CONDUCTORES!$F$16,IF((AQ27/T27)&lt;CONDUCTORES!$F$17,CONDUCTORES!$F$17,IF((AQ27/T27)&lt;CONDUCTORES!$F$18,CONDUCTORES!$F$18,IF((AQ27/T27)&lt;CONDUCTORES!$F$19,CONDUCTORES!$F$19,IF((AQ27/T27)&lt;CONDUCTORES!$F$20,CONDUCTORES!$F$20,IF((AQ27/T27)&lt;CONDUCTORES!$F$21,CONDUCTORES!$F$21,IF((AQ27/T27)&lt;CONDUCTORES!$F$22,CONDUCTORES!$F$22,CONDUCTORES!$F$23)))))))))))))))</f>
        <v>N/A</v>
      </c>
      <c r="AS27" s="435">
        <f>IF(AN27="2/C  -",IF(AQ27&lt;CONDUCTORES!$F$24,CONDUCTORES!$F$24,IF(AQ27&lt;CONDUCTORES!$F$27,CONDUCTORES!$F$27,IF(AQ27&lt;CONDUCTORES!$F$30,CONDUCTORES!$F$30,IF(AQ27&lt;CONDUCTORES!$F$33,CONDUCTORES!$F$33,IF(AQ27&lt;CONDUCTORES!$F$36,CONDUCTORES!$F$36,IF(AQ27&lt;CONDUCTORES!$F$39,CONDUCTORES!$F$39,IF(AQ27&lt;CONDUCTORES!$F$42,CONDUCTORES!$F$42,IF(AQ27&lt;CONDUCTORES!$F$45,CONDUCTORES!$F$45,IF(AQ27&lt;CONDUCTORES!$F$48,CONDUCTORES!$F$48,IF(AQ27&lt;CONDUCTORES!$F$51,CONDUCTORES!$F$51,IF(AQ27&lt;CONDUCTORES!$F$54,CONDUCTORES!$F$54,IF(AQ27&lt;CONDUCTORES!$F$57,CONDUCTORES!$F$57,CONDUCTORES!$F$60)))))))))))),0)</f>
        <v>0</v>
      </c>
      <c r="AT27" s="435">
        <f>IF(AN27="3/C  -",IF(AQ27&lt;CONDUCTORES!$F$25,CONDUCTORES!$F$25,IF(AQ27&lt;CONDUCTORES!$F$28,CONDUCTORES!$F$28,IF(AQ27&lt;CONDUCTORES!$F$31,CONDUCTORES!$F$31,IF(AQ27&lt;CONDUCTORES!$F$34,CONDUCTORES!$F$34,IF(AQ27&lt;CONDUCTORES!$F$37,CONDUCTORES!$F$37,IF(AQ27&lt;CONDUCTORES!$F$40,CONDUCTORES!$F$40,IF(AQ27&lt;CONDUCTORES!$F$43,CONDUCTORES!$F$43,IF(AQ27&lt;CONDUCTORES!$F$46,CONDUCTORES!$F$46,IF(AQ27&lt;CONDUCTORES!$F$49,CONDUCTORES!$F$49,IF(AQ27&lt;CONDUCTORES!$F$52,CONDUCTORES!$F$52,IF(AQ27&lt;CONDUCTORES!$F$55,CONDUCTORES!$F$55,IF(AQ27&lt;CONDUCTORES!$F$58,CONDUCTORES!$F$58,CONDUCTORES!$F$61)))))))))))),0)</f>
        <v>0</v>
      </c>
      <c r="AU27" s="435">
        <f>IF(AN27="4/C  -",IF(AQ27&lt;CONDUCTORES!$F$26,CONDUCTORES!$F$26,IF(AQ27&lt;CONDUCTORES!$F$29,CONDUCTORES!$F$29,IF(AQ27&lt;CONDUCTORES!$F$32,CONDUCTORES!$F$32,IF(AQ27&lt;CONDUCTORES!$F$35,CONDUCTORES!$F$35,IF(AQ27&lt;CONDUCTORES!$F$38,CONDUCTORES!$F$38,IF(AQ27&lt;CONDUCTORES!$F$41,CONDUCTORES!$F$41,IF(AQ27&lt;CONDUCTORES!$F$44,CONDUCTORES!$F$44,IF(AQ27&lt;CONDUCTORES!$F$47,CONDUCTORES!$F$47,IF(AQ27&lt;CONDUCTORES!$F$50,CONDUCTORES!$F$50,IF(AQ27&lt;CONDUCTORES!$F$53,CONDUCTORES!$F$53,IF(AQ27&lt;CONDUCTORES!$F$56,CONDUCTORES!$F$56,IF(AQ27&lt;CONDUCTORES!$F$59,CONDUCTORES!$F$59,CONDUCTORES!$F$62)))))))))))),0)</f>
        <v>0</v>
      </c>
      <c r="AV27" s="436">
        <f>IF(AM27="Multiconductor",IF(AN27="2/C  -",AS27,IF(AN27="3/C  -",AT27,IF(AN27="4/C  -",AU27,"NO SE CÁLCULO, REVISAR"))),IF(AQ27&lt;CONDUCTORES!$F$9,CONDUCTORES!$F$9,IF(AQ27&lt;CONDUCTORES!$F$10,CONDUCTORES!$F$10,IF(AQ27&lt;CONDUCTORES!$F$11,CONDUCTORES!$F$11,IF(AQ27&lt;CONDUCTORES!$F$12,CONDUCTORES!$F$12,IF(AQ27&lt;CONDUCTORES!$F$13,CONDUCTORES!$F$13,IF(AQ27&lt;CONDUCTORES!$F$14,CONDUCTORES!$F$14,IF(AQ27&lt;CONDUCTORES!$F$15,CONDUCTORES!$F$15,IF(AQ27&lt;CONDUCTORES!$F$16,CONDUCTORES!$F$16,IF(AQ27&lt;CONDUCTORES!$F$17,CONDUCTORES!$F$17,IF(AQ27&lt;CONDUCTORES!$F$18,CONDUCTORES!$F$18,IF(AQ27&lt;CONDUCTORES!$F$19,CONDUCTORES!$F$19,IF(AQ27&lt;CONDUCTORES!$F$20,CONDUCTORES!$F$20,IF(AQ27&lt;CONDUCTORES!$F$21,CONDUCTORES!$F$21,IF(AQ27&lt;CONDUCTORES!$F$22,CONDUCTORES!$F$22,CONDUCTORES!$F$23)))))))))))))))</f>
        <v>170.5</v>
      </c>
      <c r="AW27" s="437" t="str">
        <f>IF(AM27="Multiconductor",VLOOKUP(IF(T27=1,AV27,AR27),CONDUCTORES!$F$24:$AG$62,23,FALSE),VLOOKUP(IF(T27=1,AV27,AR27),CONDUCTORES!$F$9:$AF$23,23,FALSE))</f>
        <v>3/0 AWG</v>
      </c>
      <c r="AX27" s="437">
        <f>IF(AM27="Multiconductor",VLOOKUP(AV27,CONDUCTORES!$F$24:$AG$62,19,FALSE),VLOOKUP(AW27,CONDUCTORES!$B$9:$X$23,23,FALSE))</f>
        <v>9</v>
      </c>
      <c r="AY27" s="437" t="str">
        <f>+VLOOKUP(AW27,CONDUCTORES!$B$9:$BB$23,32,FALSE)</f>
        <v>4/0 AWG</v>
      </c>
      <c r="AZ27" s="437">
        <f>IF(AM27="Multiconductor",AX27+3,VLOOKUP(AY27,CONDUCTORES!$B$9:$X$23,23,FALSE))</f>
        <v>10</v>
      </c>
      <c r="BA27" s="438">
        <f>+J27</f>
        <v>135</v>
      </c>
      <c r="BB27" s="502">
        <f t="shared" si="24"/>
        <v>22691.960428119746</v>
      </c>
      <c r="BC27" s="439">
        <f t="shared" si="4"/>
        <v>1.8349999999999999E-8</v>
      </c>
      <c r="BD27" s="437">
        <f>+(1+BM27+BN27)*(1+BO27+BP27)</f>
        <v>1.0388622431715582</v>
      </c>
      <c r="BE27" s="440">
        <f>VLOOKUP(AO27,COSTOS!$A$7:$Z$94,7,FALSE)</f>
        <v>437.06881903143585</v>
      </c>
      <c r="BF27" s="437">
        <f>((2.5)/(18*LN((VLOOKUP(N27,CONDUCTORES!$B$9:$AF$23,24,FALSE))/(VLOOKUP(N27,CONDUCTORES!$B$9:$D$23,3,FALSE)))))*-0.000000001</f>
        <v>6.1300858987958999E-11</v>
      </c>
      <c r="BG27" s="437">
        <f>+(2*PI()*60)*(BF27)*(G27^2)*(0.001)</f>
        <v>5.3245162116029715E-6</v>
      </c>
      <c r="BH27" s="437">
        <f>(0.12)*(5000)*(LN((VLOOKUP(N27,CONDUCTORES!$B$9:$AF$23,24,FALSE))/(VLOOKUP(N27,CONDUCTORES!$B$9:$D$23,3,FALSE))))</f>
        <v>-1359.4154259682082</v>
      </c>
      <c r="BI27" s="437">
        <f>+($BE$3)-(((J27^2)*(VLOOKUP(N27,CONDUCTORES!$B$9:$K$23,7,FALSE)))+(0.5*BG27))*(BH27)</f>
        <v>10226748.136953684</v>
      </c>
      <c r="BJ27" s="441">
        <f>1+$BL$4*(BI27-20)</f>
        <v>39885.239734119365</v>
      </c>
      <c r="BK27" s="437">
        <f>+SQRT(((8*PI()*60)/(VLOOKUP(N27,CONDUCTORES!$B$9:$K$23,7,FALSE)))*(0.0000001)*(1))</f>
        <v>1.9113426522173863E-2</v>
      </c>
      <c r="BL27" s="437">
        <f>+SQRT(((8*PI()*60)/(VLOOKUP(N27,CONDUCTORES!$B$9:$K$23,7,FALSE)))*(0.0000001)*(1))</f>
        <v>1.9113426522173863E-2</v>
      </c>
      <c r="BM27" s="442">
        <f>((BL27^4)/((192)+((0.8)*(BL27^4))))*(((VLOOKUP(N27,CONDUCTORES!$B$9:$K$23,7,FALSE))/(1))^2)*(2.9)</f>
        <v>3.4346223296691449E-10</v>
      </c>
      <c r="BN27" s="442">
        <f>+(BK27^4)/((192)+((0.8)*(BK27^4)))</f>
        <v>6.9510910363412219E-10</v>
      </c>
      <c r="BO27" s="437">
        <f>+((BJ27)/(-BH27))*(1/(1+((BJ27)/(52.9))))</f>
        <v>3.8862242092625746E-2</v>
      </c>
      <c r="BP27" s="437">
        <v>0</v>
      </c>
      <c r="BQ27" s="434">
        <f>(IF(AM27="Multiconductor",VLOOKUP(AX27,CONDUCTORES!$A$24:$G$62,6,FALSE),VLOOKUP(AW27,CONDUCTORES!$B$9:$F$23,5,FALSE)))*(T27)</f>
        <v>170.5</v>
      </c>
      <c r="BR27" s="434">
        <f>(IF(AM27="Multiconductor",VLOOKUP(AZ27,CONDUCTORES!$A$24:$G$62,6,FALSE),VLOOKUP(AY27,CONDUCTORES!$B$9:$F$23,5,FALSE)))*(T27)</f>
        <v>206.3</v>
      </c>
      <c r="BS27" s="443">
        <f>+(BC27*BD27*(1+$BL$4*($BJ$4-20))/(BQ27))*10^6</f>
        <v>1.2634209996060904E-4</v>
      </c>
      <c r="BT27" s="443">
        <f>+(BC27*BD27*(1+$BL$4*($BJ$4-20))/(BR27))*10^6</f>
        <v>1.0441748930336325E-4</v>
      </c>
      <c r="BU27" s="443">
        <f>+(BC27*BD27*(1+$BL$4*($BJ$4-20))/(AP27))*10^6</f>
        <v>1.8301892984948036E-4</v>
      </c>
      <c r="BV27" s="444">
        <f>(L27)*((J27)^2)*(BS27)*(BB27)</f>
        <v>2821508.7762782089</v>
      </c>
      <c r="BW27" s="444">
        <f>(L27)*((J27)^2)*(BT27)*(BB27)</f>
        <v>2331881.9503414184</v>
      </c>
      <c r="BX27" s="444">
        <f>(L27)*((J27)^2)*(BU27)*(BB27)</f>
        <v>4087232.3394684335</v>
      </c>
      <c r="BY27" s="444">
        <f>VLOOKUP(AX27,COSTOS!$A$7:$I$60,4,FALSE)</f>
        <v>57908.8272</v>
      </c>
      <c r="BZ27" s="444">
        <f>VLOOKUP(AX27,COSTOS!$A$7:$I$60,5,FALSE)</f>
        <v>29908</v>
      </c>
      <c r="CA27" s="444">
        <f>+BY27+BZ27</f>
        <v>87816.8272</v>
      </c>
      <c r="CB27" s="444">
        <f>+CA27*L27*(IF(AM27="Monopolar",T27*H27,T27*AH27))</f>
        <v>14226326.0064</v>
      </c>
      <c r="CC27" s="444">
        <f>VLOOKUP(AZ27,COSTOS!$A$7:$I$60,4,FALSE)</f>
        <v>70582.42240000001</v>
      </c>
      <c r="CD27" s="444">
        <f>VLOOKUP(AZ27,COSTOS!$A$7:$I$60,5,FALSE)</f>
        <v>29908</v>
      </c>
      <c r="CE27" s="444">
        <f>+CC27+CD27</f>
        <v>100490.42240000001</v>
      </c>
      <c r="CF27" s="444">
        <f>+CE27*L27*(IF(AM27="Monopolar",T27*H27,T27*AH27))</f>
        <v>16279448.428800002</v>
      </c>
      <c r="CG27" s="444">
        <f>VLOOKUP(AO27,COSTOS!$A$7:$I$60,4,FALSE)</f>
        <v>36274.817600000002</v>
      </c>
      <c r="CH27" s="444">
        <f>VLOOKUP(AO27,COSTOS!$A$7:$I$60,5,FALSE)</f>
        <v>29908</v>
      </c>
      <c r="CI27" s="444">
        <f>+CG27+CH27</f>
        <v>66182.817600000009</v>
      </c>
      <c r="CJ27" s="444">
        <f>+CI27*L27*(IF(AM27="Monopolar",M27*H27,M27*AH27))</f>
        <v>10721616.451200001</v>
      </c>
      <c r="CK27" s="444">
        <f>(CB27)+(BV27)</f>
        <v>17047834.782678209</v>
      </c>
      <c r="CL27" s="444">
        <f>(CF27)+(BW27)</f>
        <v>18611330.37914142</v>
      </c>
      <c r="CM27" s="444">
        <f>(CJ27)+(BX27)</f>
        <v>14808848.790668435</v>
      </c>
      <c r="CN27" s="445" t="str">
        <f>IF(VLOOKUP(C27,'H2-CONDUCTORES DE BT'!$D$19:$BH$499,23,FALSE)="AÉREO","SI","NO")</f>
        <v>NO</v>
      </c>
      <c r="CO27" s="446"/>
      <c r="CP27" s="446"/>
      <c r="CQ27" s="446"/>
      <c r="CR27" s="446"/>
    </row>
    <row r="28" spans="1:96" s="408" customFormat="1" ht="25.5" customHeight="1" x14ac:dyDescent="0.25">
      <c r="A28" s="372">
        <f>+IF(OR(AL28=0,AL28=1),0,COUNTIF(AL$21:AL28,AL28))</f>
        <v>7</v>
      </c>
      <c r="B28" s="532" t="s">
        <v>1279</v>
      </c>
      <c r="C28" s="417" t="str">
        <f>+VLOOKUP(A28,'H2-CONDUCTORES DE BT'!$B$15:$CE$149,3,FALSE)</f>
        <v>MR-DT-58</v>
      </c>
      <c r="D28" s="418" t="str">
        <f>+VLOOKUP(C28,'H2-CONDUCTORES DE BT'!$D$2:$BL$155,2,FALSE)</f>
        <v>MOTOR ROTADOR (PROYECTADO)</v>
      </c>
      <c r="E28" s="419">
        <f>+VLOOKUP(C28,'H2-CONDUCTORES DE BT'!$D$2:$BL$155,6,FALSE)</f>
        <v>1</v>
      </c>
      <c r="F28" s="420" t="str">
        <f>+VLOOKUP(C28,'H2-CONDUCTORES DE BT'!$D$2:$BL$155,7,FALSE)</f>
        <v>kVA</v>
      </c>
      <c r="G28" s="421">
        <f>+VLOOKUP(C28,'H2-CONDUCTORES DE BT'!$D$2:$BL$155,8,FALSE)</f>
        <v>480</v>
      </c>
      <c r="H28" s="422">
        <f>+VLOOKUP(C28,'H2-CONDUCTORES DE BT'!$D$2:$BL$155,9,FALSE)</f>
        <v>3</v>
      </c>
      <c r="I28" s="423">
        <f>+VLOOKUP(C28,'H2-CONDUCTORES DE BT'!$D$2:$BL$155,10,FALSE)</f>
        <v>0.79600000000000004</v>
      </c>
      <c r="J28" s="461">
        <f>+VLOOKUP(C28,'H2-CONDUCTORES DE BT'!$D$2:$BL$155,28,FALSE)</f>
        <v>25</v>
      </c>
      <c r="K28" s="425">
        <f>+VLOOKUP(C28,'H2-CONDUCTORES DE BT'!$D$2:$BL$155,11,FALSE)</f>
        <v>0.94099999999999995</v>
      </c>
      <c r="L28" s="342">
        <f>+VLOOKUP(C28,'H2-CONDUCTORES DE BT'!$D$2:$BL$155,4,FALSE)</f>
        <v>54</v>
      </c>
      <c r="M28" s="426">
        <f>+AH28</f>
        <v>1</v>
      </c>
      <c r="N28" s="427" t="str">
        <f>IF(VLOOKUP(C28,'H2-CONDUCTORES DE BT'!$D$2:$BL$155,40,FALSE)="Cu",VLOOKUP(C28,'H2-CONDUCTORES DE BT'!$D$2:$BL$155,36,FALSE),VLOOKUP(C28,'H2-CONDUCTORES DE BT'!$D$2:$BL$155,55,FALSE))</f>
        <v>12 AWG</v>
      </c>
      <c r="O28" s="428" t="str">
        <f>IF(VLOOKUP(C28,'H2-CONDUCTORES DE BT'!$D$15:$BH$499,23,FALSE)="AÉREO","Al","Cu")</f>
        <v>Cu</v>
      </c>
      <c r="P28" s="429"/>
      <c r="Q28" s="430">
        <f>IF(O28="Al",VLOOKUP(C28,'PÉRDIDAS ECONO Al'!$D$15:$Y$507,15,FALSE),CK28)</f>
        <v>1460651.1374920367</v>
      </c>
      <c r="R28" s="430">
        <f>IF(O28="Al",VLOOKUP(C28,'PÉRDIDAS ECONO Al'!$D$15:$Y$507,16,FALSE),CL28)</f>
        <v>1536964.5850143812</v>
      </c>
      <c r="S28" s="430">
        <f>IF(O28="Al",VLOOKUP(C28,'PÉRDIDAS ECONO Al'!$D$15:$Y$507,17,FALSE),CM28)</f>
        <v>1460651.1374920367</v>
      </c>
      <c r="T28" s="462">
        <f>IF(O28="Al",VLOOKUP(C28,'PÉRDIDAS ECONO Al'!$D$15:$Y$507,18,FALSE),IF(AM28="Monopolar",ROUNDUP((AQ28/450.3),0),ROUNDUP((AQ28/456.17),0)))</f>
        <v>1</v>
      </c>
      <c r="U28" s="430" t="str">
        <f>IF(O28="Al",VLOOKUP(C28,'PÉRDIDAS ECONO Al'!$D$15:$Y$507,19,FALSE),AW28)</f>
        <v>12 AWG</v>
      </c>
      <c r="V28" s="463">
        <f>IF(O28="Al",VLOOKUP(C28,'PÉRDIDAS ECONO Al'!$D$15:$Y$507,20,FALSE),IF(AM28="Monopolar",ROUNDUP((AQ28/450.3),0),ROUNDUP((AQ28/456.17),0)))</f>
        <v>1</v>
      </c>
      <c r="W28" s="430" t="str">
        <f>IF(O28="Al",VLOOKUP(C28,'PÉRDIDAS ECONO Al'!$D$15:$Y$507,21,FALSE),AY28)</f>
        <v>10 AWG</v>
      </c>
      <c r="X28" s="432" t="str">
        <f>IF(O28="Al",VLOOKUP(C28,'PÉRDIDAS ECONO Al'!$D$15:$Y$507,22,FALSE),IF(MIN(Q28:S28)=S28,"OPCIÓN TÉCNICA",IF(MIN(Q28:S28)=R28,"OPCIÓN 2","OPCIÓN 1")))</f>
        <v>OPCIÓN TÉCNICA</v>
      </c>
      <c r="Y28" s="392"/>
      <c r="Z28" s="392"/>
      <c r="AA28" s="392"/>
      <c r="AB28" s="392"/>
      <c r="AC28" s="392"/>
      <c r="AD28" s="392"/>
      <c r="AE28" s="392"/>
      <c r="AF28" s="392"/>
      <c r="AG28" s="392"/>
      <c r="AH28" s="343">
        <f>+VLOOKUP(C28,'H2-CONDUCTORES DE BT'!$D$2:$BL$155,37,FALSE)</f>
        <v>1</v>
      </c>
      <c r="AI28" s="343" t="str">
        <f>+VLOOKUP(C28,'H2-CONDUCTORES DE BT'!$D$2:$BL$155,36,FALSE)</f>
        <v>12 AWG</v>
      </c>
      <c r="AJ28" s="343" t="str">
        <f>IF(AM28="Multiconductor","N/A",IF(VLOOKUP(C28,'H2-CONDUCTORES DE BT'!$D$2:$BL$155,50,FALSE)&lt;&gt;1,VLOOKUP(C28,'H2-CONDUCTORES DE BT'!$D$2:$BL$155,50,FALSE),IF(VLOOKUP(C28,'H2-CONDUCTORES DE BT'!$D$2:$BL$155,23,FALSE)="BANDEJA",1,IF(VLOOKUP(C28,'H2-CONDUCTORES DE BT'!$D$2:$BL$155,24,FALSE)&lt;&gt;3,IF(((VLOOKUP(C28,'H2-CONDUCTORES DE BT'!$D$2:$BL$155,24,FALSE))/3)=AH28,1),VLOOKUP(C28,'H2-CONDUCTORES DE BT'!$D$2:$BL$155,37,FALSE)))))</f>
        <v>N/A</v>
      </c>
      <c r="AK28" s="343" t="str">
        <f>IF(AM28="Multiconductor","N/A",(IF((VLOOKUP(C28,'H2-CONDUCTORES DE BT'!$D$2:$BL$155,40,FALSE))="Al",IF((VLOOKUP(C28,'H2-CONDUCTORES DE BT'!$D$2:$BL$155,51,FALSE))="No",LOOKUP((VLOOKUP(C28,'H2-CONDUCTORES DE BT'!$D$2:$BL$155,16,FALSE)),CONDUCTORES!$A$111:$A$131,CONDUCTORES!$C$111:$C$131),(VLOOKUP(C28,'H2-CONDUCTORES DE BT'!$D$2:$BL$155,51,FALSE))),IF((VLOOKUP(C28,'H2-CONDUCTORES DE BT'!$D$2:$BL$155,51,FALSE))="No",LOOKUP((VLOOKUP(C28,'H2-CONDUCTORES DE BT'!$D$2:$BL$155,16,FALSE)),CONDUCTORES!$A$111:$A$131,CONDUCTORES!$B$111:$B$131),(VLOOKUP(C28,'H2-CONDUCTORES DE BT'!$D$2:$BL$155,51,FALSE))))))</f>
        <v>N/A</v>
      </c>
      <c r="AL28" s="340">
        <f>LEN(B28)-LEN(SUBSTITUTE(B28,IF(ISNUMBER(FIND(".",B28)),".",","),""))</f>
        <v>2</v>
      </c>
      <c r="AM28" s="464" t="str">
        <f>+VLOOKUP(C28,'H2-CONDUCTORES DE BT'!$D$2:$BL$155,38,FALSE)</f>
        <v>Multiconductor</v>
      </c>
      <c r="AN28" s="531" t="str">
        <f>IF(AM28="Monopolar","N/A",VLOOKUP(C28,'H2-CONDUCTORES DE BT'!$D$2:$BL$192,39,FALSE))</f>
        <v>4/C  -</v>
      </c>
      <c r="AO28" s="437">
        <f>+VLOOKUP(C28,'H2-CONDUCTORES DE BT'!$D$2:$CL$492,70,FALSE)</f>
        <v>18</v>
      </c>
      <c r="AP28" s="434">
        <f>(VLOOKUP(AO28,CONDUCTORES!$A$9:$G$62,6,FALSE))*(AH28)</f>
        <v>86.59014751456867</v>
      </c>
      <c r="AQ28" s="434">
        <f t="shared" si="2"/>
        <v>33.519560486988084</v>
      </c>
      <c r="AR28" s="434" t="str">
        <f>+IF(T28=1,"N/A",IF((AQ28/T28)&lt;CONDUCTORES!$F$9,CONDUCTORES!$F$9,IF((AQ28/T28)&lt;CONDUCTORES!$F$10,CONDUCTORES!$F$10,IF((AQ28/T28)&lt;CONDUCTORES!$F$11,CONDUCTORES!$F$11,IF((AQ28/T28)&lt;CONDUCTORES!$F$12,CONDUCTORES!$F$12,IF((AQ28/T28)&lt;CONDUCTORES!$F$13,CONDUCTORES!$F$13,IF((AQ28/T28)&lt;CONDUCTORES!$F$14,CONDUCTORES!$F$14,IF((AQ28/T28)&lt;CONDUCTORES!$F$15,CONDUCTORES!$F$15,IF((AQ28/T28)&lt;CONDUCTORES!$F$16,CONDUCTORES!$F$16,IF((AQ28/T28)&lt;CONDUCTORES!$F$17,CONDUCTORES!$F$17,IF((AQ28/T28)&lt;CONDUCTORES!$F$18,CONDUCTORES!$F$18,IF((AQ28/T28)&lt;CONDUCTORES!$F$19,CONDUCTORES!$F$19,IF((AQ28/T28)&lt;CONDUCTORES!$F$20,CONDUCTORES!$F$20,IF((AQ28/T28)&lt;CONDUCTORES!$F$21,CONDUCTORES!$F$21,IF((AQ28/T28)&lt;CONDUCTORES!$F$22,CONDUCTORES!$F$22,CONDUCTORES!$F$23)))))))))))))))</f>
        <v>N/A</v>
      </c>
      <c r="AS28" s="435">
        <f>IF(AN28="2/C  -",IF(AQ28&lt;CONDUCTORES!$F$24,CONDUCTORES!$F$24,IF(AQ28&lt;CONDUCTORES!$F$27,CONDUCTORES!$F$27,IF(AQ28&lt;CONDUCTORES!$F$30,CONDUCTORES!$F$30,IF(AQ28&lt;CONDUCTORES!$F$33,CONDUCTORES!$F$33,IF(AQ28&lt;CONDUCTORES!$F$36,CONDUCTORES!$F$36,IF(AQ28&lt;CONDUCTORES!$F$39,CONDUCTORES!$F$39,IF(AQ28&lt;CONDUCTORES!$F$42,CONDUCTORES!$F$42,IF(AQ28&lt;CONDUCTORES!$F$45,CONDUCTORES!$F$45,IF(AQ28&lt;CONDUCTORES!$F$48,CONDUCTORES!$F$48,IF(AQ28&lt;CONDUCTORES!$F$51,CONDUCTORES!$F$51,IF(AQ28&lt;CONDUCTORES!$F$54,CONDUCTORES!$F$54,IF(AQ28&lt;CONDUCTORES!$F$57,CONDUCTORES!$F$57,CONDUCTORES!$F$60)))))))))))),0)</f>
        <v>0</v>
      </c>
      <c r="AT28" s="435">
        <f>IF(AN28="3/C  -",IF(AQ28&lt;CONDUCTORES!$F$25,CONDUCTORES!$F$25,IF(AQ28&lt;CONDUCTORES!$F$28,CONDUCTORES!$F$28,IF(AQ28&lt;CONDUCTORES!$F$31,CONDUCTORES!$F$31,IF(AQ28&lt;CONDUCTORES!$F$34,CONDUCTORES!$F$34,IF(AQ28&lt;CONDUCTORES!$F$37,CONDUCTORES!$F$37,IF(AQ28&lt;CONDUCTORES!$F$40,CONDUCTORES!$F$40,IF(AQ28&lt;CONDUCTORES!$F$43,CONDUCTORES!$F$43,IF(AQ28&lt;CONDUCTORES!$F$46,CONDUCTORES!$F$46,IF(AQ28&lt;CONDUCTORES!$F$49,CONDUCTORES!$F$49,IF(AQ28&lt;CONDUCTORES!$F$52,CONDUCTORES!$F$52,IF(AQ28&lt;CONDUCTORES!$F$55,CONDUCTORES!$F$55,IF(AQ28&lt;CONDUCTORES!$F$58,CONDUCTORES!$F$58,CONDUCTORES!$F$61)))))))))))),0)</f>
        <v>0</v>
      </c>
      <c r="AU28" s="435">
        <f>IF(AN28="4/C  -",IF(AQ28&lt;CONDUCTORES!$F$26,CONDUCTORES!$F$26,IF(AQ28&lt;CONDUCTORES!$F$29,CONDUCTORES!$F$29,IF(AQ28&lt;CONDUCTORES!$F$32,CONDUCTORES!$F$32,IF(AQ28&lt;CONDUCTORES!$F$35,CONDUCTORES!$F$35,IF(AQ28&lt;CONDUCTORES!$F$38,CONDUCTORES!$F$38,IF(AQ28&lt;CONDUCTORES!$F$41,CONDUCTORES!$F$41,IF(AQ28&lt;CONDUCTORES!$F$44,CONDUCTORES!$F$44,IF(AQ28&lt;CONDUCTORES!$F$47,CONDUCTORES!$F$47,IF(AQ28&lt;CONDUCTORES!$F$50,CONDUCTORES!$F$50,IF(AQ28&lt;CONDUCTORES!$F$53,CONDUCTORES!$F$53,IF(AQ28&lt;CONDUCTORES!$F$56,CONDUCTORES!$F$56,IF(AQ28&lt;CONDUCTORES!$F$59,CONDUCTORES!$F$59,CONDUCTORES!$F$62)))))))))))),0)</f>
        <v>86.59014751456867</v>
      </c>
      <c r="AV28" s="436">
        <f>IF(AM28="Multiconductor",IF(AN28="2/C  -",AS28,IF(AN28="3/C  -",AT28,IF(AN28="4/C  -",AU28,"NO SE CÁLCULO, REVISAR"))),IF(AQ28&lt;CONDUCTORES!$F$9,CONDUCTORES!$F$9,IF(AQ28&lt;CONDUCTORES!$F$10,CONDUCTORES!$F$10,IF(AQ28&lt;CONDUCTORES!$F$11,CONDUCTORES!$F$11,IF(AQ28&lt;CONDUCTORES!$F$12,CONDUCTORES!$F$12,IF(AQ28&lt;CONDUCTORES!$F$13,CONDUCTORES!$F$13,IF(AQ28&lt;CONDUCTORES!$F$14,CONDUCTORES!$F$14,IF(AQ28&lt;CONDUCTORES!$F$15,CONDUCTORES!$F$15,IF(AQ28&lt;CONDUCTORES!$F$16,CONDUCTORES!$F$16,IF(AQ28&lt;CONDUCTORES!$F$17,CONDUCTORES!$F$17,IF(AQ28&lt;CONDUCTORES!$F$18,CONDUCTORES!$F$18,IF(AQ28&lt;CONDUCTORES!$F$19,CONDUCTORES!$F$19,IF(AQ28&lt;CONDUCTORES!$F$20,CONDUCTORES!$F$20,IF(AQ28&lt;CONDUCTORES!$F$21,CONDUCTORES!$F$21,IF(AQ28&lt;CONDUCTORES!$F$22,CONDUCTORES!$F$22,CONDUCTORES!$F$23)))))))))))))))</f>
        <v>86.59014751456867</v>
      </c>
      <c r="AW28" s="437" t="str">
        <f>IF(AM28="Multiconductor",VLOOKUP(IF(T28=1,AV28,AR28),CONDUCTORES!$F$24:$AG$62,23,FALSE),VLOOKUP(IF(T28=1,AV28,AR28),CONDUCTORES!$F$9:$AF$23,23,FALSE))</f>
        <v>12 AWG</v>
      </c>
      <c r="AX28" s="437">
        <f>IF(AM28="Multiconductor",VLOOKUP(AV28,CONDUCTORES!$F$24:$AG$62,19,FALSE),VLOOKUP(AW28,CONDUCTORES!$B$9:$X$23,23,FALSE))</f>
        <v>18</v>
      </c>
      <c r="AY28" s="437" t="str">
        <f>+VLOOKUP(AW28,CONDUCTORES!$B$9:$BB$23,32,FALSE)</f>
        <v>10 AWG</v>
      </c>
      <c r="AZ28" s="437">
        <f>IF(AM28="Multiconductor",AX28+3,VLOOKUP(AY28,CONDUCTORES!$B$9:$X$23,23,FALSE))</f>
        <v>21</v>
      </c>
      <c r="BA28" s="438">
        <f>+J28</f>
        <v>25</v>
      </c>
      <c r="BB28" s="502">
        <f t="shared" si="24"/>
        <v>22691.960428119746</v>
      </c>
      <c r="BC28" s="439">
        <f>+$AM$4</f>
        <v>1.8349999999999999E-8</v>
      </c>
      <c r="BD28" s="437">
        <f>+(1+BM28+BN28)*(1+BO28+BP28)</f>
        <v>1.0379412574576801</v>
      </c>
      <c r="BE28" s="440">
        <f>VLOOKUP(AO28,COSTOS!$A$7:$Z$94,7,FALSE)</f>
        <v>271.67063084217659</v>
      </c>
      <c r="BF28" s="437">
        <f>((2.5)/(18*LN((VLOOKUP(N28,CONDUCTORES!$B$9:$AF$23,24,FALSE))/(VLOOKUP(N28,CONDUCTORES!$B$9:$D$23,3,FALSE)))))*-0.000000001</f>
        <v>5.9904367158024496E-11</v>
      </c>
      <c r="BG28" s="437">
        <f>+(2*PI()*60)*(BF28)*(G28^2)*(0.001)</f>
        <v>5.2032186717215502E-6</v>
      </c>
      <c r="BH28" s="437">
        <f>(0.12)*(5000)*(LN((VLOOKUP(N28,CONDUCTORES!$B$9:$AF$23,24,FALSE))/(VLOOKUP(N28,CONDUCTORES!$B$9:$D$23,3,FALSE))))</f>
        <v>-1391.106146126283</v>
      </c>
      <c r="BI28" s="437">
        <f>+($BE$3)-(((J28^2)*(VLOOKUP(N28,CONDUCTORES!$B$9:$K$23,7,FALSE)))+(0.5*BG28))*(BH28)</f>
        <v>5981492.7222300982</v>
      </c>
      <c r="BJ28" s="441">
        <f>1+$BL$4*(BI28-20)</f>
        <v>23328.743616697382</v>
      </c>
      <c r="BK28" s="437">
        <f>+SQRT(((8*PI()*60)/(VLOOKUP(N28,CONDUCTORES!$B$9:$K$23,7,FALSE)))*(0.0000001)*(1))</f>
        <v>4.6818142215504822E-3</v>
      </c>
      <c r="BL28" s="437">
        <f>+SQRT(((8*PI()*60)/(VLOOKUP(N28,CONDUCTORES!$B$9:$K$23,7,FALSE)))*(0.0000001)*(1))</f>
        <v>4.6818142215504822E-3</v>
      </c>
      <c r="BM28" s="442">
        <f>((BL28^4)/((192)+((0.8)*(BL28^4))))*(((VLOOKUP(N28,CONDUCTORES!$B$9:$K$23,7,FALSE))/(1))^2)*(2.9)</f>
        <v>3.4346223315722197E-10</v>
      </c>
      <c r="BN28" s="442">
        <f>+(BK28^4)/((192)+((0.8)*(BK28^4)))</f>
        <v>2.5023927744693776E-12</v>
      </c>
      <c r="BO28" s="437">
        <f>+((BJ28)/(-BH28))*(1/(1+((BJ28)/(52.9))))</f>
        <v>3.7941257098589025E-2</v>
      </c>
      <c r="BP28" s="437">
        <v>0</v>
      </c>
      <c r="BQ28" s="434">
        <f>(IF(AM28="Multiconductor",VLOOKUP(AX28,CONDUCTORES!$A$24:$G$62,6,FALSE),VLOOKUP(AW28,CONDUCTORES!$B$9:$F$23,5,FALSE)))*(T28)</f>
        <v>86.59014751456867</v>
      </c>
      <c r="BR28" s="434">
        <f>(IF(AM28="Multiconductor",VLOOKUP(AZ28,CONDUCTORES!$A$24:$G$62,6,FALSE),VLOOKUP(AY28,CONDUCTORES!$B$9:$F$23,5,FALSE)))*(T28)</f>
        <v>122.7184630308513</v>
      </c>
      <c r="BS28" s="443">
        <f>+(BC28*BD28*(1+$BL$4*($BJ$4-20))/(BQ28))*10^6</f>
        <v>2.4855288461533842E-4</v>
      </c>
      <c r="BT28" s="443">
        <f>+(BC28*BD28*(1+$BL$4*($BJ$4-20))/(BR28))*10^6</f>
        <v>1.7537891538458282E-4</v>
      </c>
      <c r="BU28" s="443">
        <f>+(BC28*BD28*(1+$BL$4*($BJ$4-20))/(AP28))*10^6</f>
        <v>2.4855288461533842E-4</v>
      </c>
      <c r="BV28" s="444">
        <f>(L28)*((J28)^2)*(BS28)*(BB28)</f>
        <v>190355.13749203671</v>
      </c>
      <c r="BW28" s="444">
        <f>(L28)*((J28)^2)*(BT28)*(BB28)</f>
        <v>134314.58501438113</v>
      </c>
      <c r="BX28" s="444">
        <f>(L28)*((J28)^2)*(BU28)*(BB28)</f>
        <v>190355.13749203671</v>
      </c>
      <c r="BY28" s="444">
        <f>VLOOKUP(AX28,COSTOS!$A$7:$I$60,4,FALSE)</f>
        <v>5873</v>
      </c>
      <c r="BZ28" s="444">
        <f>VLOOKUP(AX28,COSTOS!$A$7:$I$60,5,FALSE)</f>
        <v>17651</v>
      </c>
      <c r="CA28" s="444">
        <f>+BY28+BZ28</f>
        <v>23524</v>
      </c>
      <c r="CB28" s="444">
        <f>+CA28*L28*(IF(AM28="Monopolar",T28*H28,T28*AH28))</f>
        <v>1270296</v>
      </c>
      <c r="CC28" s="444">
        <f>VLOOKUP(AZ28,COSTOS!$A$7:$I$60,4,FALSE)</f>
        <v>8324</v>
      </c>
      <c r="CD28" s="444">
        <f>VLOOKUP(AZ28,COSTOS!$A$7:$I$60,5,FALSE)</f>
        <v>17651</v>
      </c>
      <c r="CE28" s="444">
        <f>+CC28+CD28</f>
        <v>25975</v>
      </c>
      <c r="CF28" s="444">
        <f>+CE28*L28*(IF(AM28="Monopolar",T28*H28,T28*AH28))</f>
        <v>1402650</v>
      </c>
      <c r="CG28" s="444">
        <f>VLOOKUP(AO28,COSTOS!$A$7:$I$60,4,FALSE)</f>
        <v>5873</v>
      </c>
      <c r="CH28" s="444">
        <f>VLOOKUP(AO28,COSTOS!$A$7:$I$60,5,FALSE)</f>
        <v>17651</v>
      </c>
      <c r="CI28" s="444">
        <f>+CG28+CH28</f>
        <v>23524</v>
      </c>
      <c r="CJ28" s="444">
        <f>+CI28*L28*(IF(AM28="Monopolar",M28*H28,M28*AH28))</f>
        <v>1270296</v>
      </c>
      <c r="CK28" s="444">
        <f>(CB28)+(BV28)</f>
        <v>1460651.1374920367</v>
      </c>
      <c r="CL28" s="444">
        <f>(CF28)+(BW28)</f>
        <v>1536964.5850143812</v>
      </c>
      <c r="CM28" s="444">
        <f>(CJ28)+(BX28)</f>
        <v>1460651.1374920367</v>
      </c>
      <c r="CN28" s="445" t="str">
        <f>IF(VLOOKUP(C28,'H2-CONDUCTORES DE BT'!$D$19:$BH$499,23,FALSE)="AÉREO","SI","NO")</f>
        <v>NO</v>
      </c>
      <c r="CO28" s="446"/>
      <c r="CP28" s="446"/>
      <c r="CQ28" s="446"/>
      <c r="CR28" s="446"/>
    </row>
    <row r="29" spans="1:96" s="408" customFormat="1" ht="25.5" customHeight="1" x14ac:dyDescent="0.25">
      <c r="A29" s="372">
        <f>+IF(OR(AL29=0,AL29=1),0,COUNTIF(AL$21:AL29,AL29))</f>
        <v>8</v>
      </c>
      <c r="B29" s="532" t="s">
        <v>1280</v>
      </c>
      <c r="C29" s="417" t="str">
        <f>+VLOOKUP(A29,'H2-CONDUCTORES DE BT'!$B$15:$CE$149,3,FALSE)</f>
        <v>VFD-DT-97</v>
      </c>
      <c r="D29" s="418" t="str">
        <f>+VLOOKUP(C29,'H2-CONDUCTORES DE BT'!$D$2:$BL$155,2,FALSE)</f>
        <v>VARIADOR DE FRECUENCIA (EXISTENTE)</v>
      </c>
      <c r="E29" s="539">
        <f>+VLOOKUP(C29,'H2-CONDUCTORES DE BT'!$D$2:$BL$155,6,FALSE)</f>
        <v>46.9</v>
      </c>
      <c r="F29" s="420" t="str">
        <f>+VLOOKUP(C29,'H2-CONDUCTORES DE BT'!$D$2:$BL$155,7,FALSE)</f>
        <v>kVA</v>
      </c>
      <c r="G29" s="421">
        <f>+VLOOKUP(C29,'H2-CONDUCTORES DE BT'!$D$2:$BL$155,8,FALSE)</f>
        <v>480</v>
      </c>
      <c r="H29" s="422">
        <f>+VLOOKUP(C29,'H2-CONDUCTORES DE BT'!$D$2:$BL$155,9,FALSE)</f>
        <v>3</v>
      </c>
      <c r="I29" s="423">
        <f>+VLOOKUP(C29,'H2-CONDUCTORES DE BT'!$D$2:$BL$155,10,FALSE)</f>
        <v>0.79600000000000004</v>
      </c>
      <c r="J29" s="461">
        <f>+VLOOKUP(C29,'H2-CONDUCTORES DE BT'!$D$2:$BL$155,28,FALSE)</f>
        <v>135</v>
      </c>
      <c r="K29" s="425">
        <f>+VLOOKUP(C29,'H2-CONDUCTORES DE BT'!$D$2:$BL$155,11,FALSE)</f>
        <v>0.94099999999999995</v>
      </c>
      <c r="L29" s="342">
        <f>+VLOOKUP(C29,'H2-CONDUCTORES DE BT'!$D$2:$BL$155,4,FALSE)</f>
        <v>5</v>
      </c>
      <c r="M29" s="426">
        <f t="shared" si="0"/>
        <v>1</v>
      </c>
      <c r="N29" s="427" t="str">
        <f>IF(VLOOKUP(C29,'H2-CONDUCTORES DE BT'!$D$2:$BL$155,40,FALSE)="Cu",VLOOKUP(C29,'H2-CONDUCTORES DE BT'!$D$2:$BL$155,36,FALSE),VLOOKUP(C29,'H2-CONDUCTORES DE BT'!$D$2:$BL$155,55,FALSE))</f>
        <v>1/0 AWG</v>
      </c>
      <c r="O29" s="428" t="str">
        <f>IF(VLOOKUP(C29,'H2-CONDUCTORES DE BT'!$D$15:$BH$499,23,FALSE)="AÉREO","Al","Cu")</f>
        <v>Cu</v>
      </c>
      <c r="P29" s="429"/>
      <c r="Q29" s="430">
        <f>IF(O29="Al",VLOOKUP(C29,'PÉRDIDAS ECONO Al'!$D$15:$Y$507,15,FALSE),CK29)</f>
        <v>1578503.2206183528</v>
      </c>
      <c r="R29" s="430">
        <f>IF(O29="Al",VLOOKUP(C29,'PÉRDIDAS ECONO Al'!$D$15:$Y$507,16,FALSE),CL29)</f>
        <v>1723271.3314019833</v>
      </c>
      <c r="S29" s="430">
        <f>IF(O29="Al",VLOOKUP(C29,'PÉRDIDAS ECONO Al'!$D$15:$Y$507,17,FALSE),CM29)</f>
        <v>1371189.70283967</v>
      </c>
      <c r="T29" s="462">
        <f>IF(O29="Al",VLOOKUP(C29,'PÉRDIDAS ECONO Al'!$D$15:$Y$507,18,FALSE),IF(AM29="Monopolar",ROUNDUP((AQ29/450.3),0),ROUNDUP((AQ29/456.17),0)))</f>
        <v>1</v>
      </c>
      <c r="U29" s="430" t="str">
        <f>IF(O29="Al",VLOOKUP(C29,'PÉRDIDAS ECONO Al'!$D$15:$Y$507,19,FALSE),AW29)</f>
        <v>3/0 AWG</v>
      </c>
      <c r="V29" s="463">
        <f>IF(O29="Al",VLOOKUP(C29,'PÉRDIDAS ECONO Al'!$D$15:$Y$507,20,FALSE),IF(AM29="Monopolar",ROUNDUP((AQ29/450.3),0),ROUNDUP((AQ29/456.17),0)))</f>
        <v>1</v>
      </c>
      <c r="W29" s="430" t="str">
        <f>IF(O29="Al",VLOOKUP(C29,'PÉRDIDAS ECONO Al'!$D$15:$Y$507,21,FALSE),AY29)</f>
        <v>4/0 AWG</v>
      </c>
      <c r="X29" s="432" t="str">
        <f>IF(O29="Al",VLOOKUP(C29,'PÉRDIDAS ECONO Al'!$D$15:$Y$507,22,FALSE),IF(MIN(Q29:S29)=S29,"OPCIÓN TÉCNICA",IF(MIN(Q29:S29)=R29,"OPCIÓN 2","OPCIÓN 1")))</f>
        <v>OPCIÓN TÉCNICA</v>
      </c>
      <c r="Y29" s="392"/>
      <c r="Z29" s="392"/>
      <c r="AA29" s="392"/>
      <c r="AB29" s="392"/>
      <c r="AC29" s="392"/>
      <c r="AD29" s="392"/>
      <c r="AE29" s="392"/>
      <c r="AF29" s="392"/>
      <c r="AG29" s="392"/>
      <c r="AH29" s="343">
        <f>+VLOOKUP(C29,'H2-CONDUCTORES DE BT'!$D$2:$BL$155,37,FALSE)</f>
        <v>1</v>
      </c>
      <c r="AI29" s="343" t="str">
        <f>+VLOOKUP(C29,'H2-CONDUCTORES DE BT'!$D$2:$BL$155,36,FALSE)</f>
        <v>1/0 AWG</v>
      </c>
      <c r="AJ29" s="343">
        <f>IF(AM29="Multiconductor","N/A",IF(VLOOKUP(C29,'H2-CONDUCTORES DE BT'!$D$2:$BL$155,50,FALSE)&lt;&gt;1,VLOOKUP(C29,'H2-CONDUCTORES DE BT'!$D$2:$BL$155,50,FALSE),IF(VLOOKUP(C29,'H2-CONDUCTORES DE BT'!$D$2:$BL$155,23,FALSE)="BANDEJA",1,IF(VLOOKUP(C29,'H2-CONDUCTORES DE BT'!$D$2:$BL$155,24,FALSE)&lt;&gt;3,IF(((VLOOKUP(C29,'H2-CONDUCTORES DE BT'!$D$2:$BL$155,24,FALSE))/3)=AH29,1),VLOOKUP(C29,'H2-CONDUCTORES DE BT'!$D$2:$BL$155,37,FALSE)))))</f>
        <v>1</v>
      </c>
      <c r="AK29" s="343" t="str">
        <f>IF(AM29="Multiconductor","N/A",(IF((VLOOKUP(C29,'H2-CONDUCTORES DE BT'!$D$2:$BL$155,40,FALSE))="Al",IF((VLOOKUP(C29,'H2-CONDUCTORES DE BT'!$D$2:$BL$155,51,FALSE))="No",LOOKUP((VLOOKUP(C29,'H2-CONDUCTORES DE BT'!$D$2:$BL$155,16,FALSE)),CONDUCTORES!$A$111:$A$131,CONDUCTORES!$C$111:$C$131),(VLOOKUP(C29,'H2-CONDUCTORES DE BT'!$D$2:$BL$155,51,FALSE))),IF((VLOOKUP(C29,'H2-CONDUCTORES DE BT'!$D$2:$BL$155,51,FALSE))="No",LOOKUP((VLOOKUP(C29,'H2-CONDUCTORES DE BT'!$D$2:$BL$155,16,FALSE)),CONDUCTORES!$A$111:$A$131,CONDUCTORES!$B$111:$B$131),(VLOOKUP(C29,'H2-CONDUCTORES DE BT'!$D$2:$BL$155,51,FALSE))))))</f>
        <v>4 AWG</v>
      </c>
      <c r="AL29" s="340">
        <f t="shared" si="1"/>
        <v>2</v>
      </c>
      <c r="AM29" s="464" t="str">
        <f>+VLOOKUP(C29,'H2-CONDUCTORES DE BT'!$D$2:$BL$155,38,FALSE)</f>
        <v>Monopolar</v>
      </c>
      <c r="AN29" s="531" t="str">
        <f>IF(AM29="Monopolar","N/A",VLOOKUP(C29,'H2-CONDUCTORES DE BT'!$D$2:$BL$192,39,FALSE))</f>
        <v>N/A</v>
      </c>
      <c r="AO29" s="437">
        <f>+VLOOKUP(C29,'H2-CONDUCTORES DE BT'!$D$2:$CL$492,70,FALSE)</f>
        <v>7</v>
      </c>
      <c r="AP29" s="434">
        <f>(VLOOKUP(AO29,CONDUCTORES!$A$9:$G$62,6,FALSE))*(AH29)</f>
        <v>117.7</v>
      </c>
      <c r="AQ29" s="434">
        <f t="shared" si="2"/>
        <v>142.76807448302145</v>
      </c>
      <c r="AR29" s="434" t="str">
        <f>+IF(T29=1,"N/A",IF((AQ29/T29)&lt;CONDUCTORES!$F$9,CONDUCTORES!$F$9,IF((AQ29/T29)&lt;CONDUCTORES!$F$10,CONDUCTORES!$F$10,IF((AQ29/T29)&lt;CONDUCTORES!$F$11,CONDUCTORES!$F$11,IF((AQ29/T29)&lt;CONDUCTORES!$F$12,CONDUCTORES!$F$12,IF((AQ29/T29)&lt;CONDUCTORES!$F$13,CONDUCTORES!$F$13,IF((AQ29/T29)&lt;CONDUCTORES!$F$14,CONDUCTORES!$F$14,IF((AQ29/T29)&lt;CONDUCTORES!$F$15,CONDUCTORES!$F$15,IF((AQ29/T29)&lt;CONDUCTORES!$F$16,CONDUCTORES!$F$16,IF((AQ29/T29)&lt;CONDUCTORES!$F$17,CONDUCTORES!$F$17,IF((AQ29/T29)&lt;CONDUCTORES!$F$18,CONDUCTORES!$F$18,IF((AQ29/T29)&lt;CONDUCTORES!$F$19,CONDUCTORES!$F$19,IF((AQ29/T29)&lt;CONDUCTORES!$F$20,CONDUCTORES!$F$20,IF((AQ29/T29)&lt;CONDUCTORES!$F$21,CONDUCTORES!$F$21,IF((AQ29/T29)&lt;CONDUCTORES!$F$22,CONDUCTORES!$F$22,CONDUCTORES!$F$23)))))))))))))))</f>
        <v>N/A</v>
      </c>
      <c r="AS29" s="435">
        <f>IF(AN29="2/C  -",IF(AQ29&lt;CONDUCTORES!$F$24,CONDUCTORES!$F$24,IF(AQ29&lt;CONDUCTORES!$F$27,CONDUCTORES!$F$27,IF(AQ29&lt;CONDUCTORES!$F$30,CONDUCTORES!$F$30,IF(AQ29&lt;CONDUCTORES!$F$33,CONDUCTORES!$F$33,IF(AQ29&lt;CONDUCTORES!$F$36,CONDUCTORES!$F$36,IF(AQ29&lt;CONDUCTORES!$F$39,CONDUCTORES!$F$39,IF(AQ29&lt;CONDUCTORES!$F$42,CONDUCTORES!$F$42,IF(AQ29&lt;CONDUCTORES!$F$45,CONDUCTORES!$F$45,IF(AQ29&lt;CONDUCTORES!$F$48,CONDUCTORES!$F$48,IF(AQ29&lt;CONDUCTORES!$F$51,CONDUCTORES!$F$51,IF(AQ29&lt;CONDUCTORES!$F$54,CONDUCTORES!$F$54,IF(AQ29&lt;CONDUCTORES!$F$57,CONDUCTORES!$F$57,CONDUCTORES!$F$60)))))))))))),0)</f>
        <v>0</v>
      </c>
      <c r="AT29" s="435">
        <f>IF(AN29="3/C  -",IF(AQ29&lt;CONDUCTORES!$F$25,CONDUCTORES!$F$25,IF(AQ29&lt;CONDUCTORES!$F$28,CONDUCTORES!$F$28,IF(AQ29&lt;CONDUCTORES!$F$31,CONDUCTORES!$F$31,IF(AQ29&lt;CONDUCTORES!$F$34,CONDUCTORES!$F$34,IF(AQ29&lt;CONDUCTORES!$F$37,CONDUCTORES!$F$37,IF(AQ29&lt;CONDUCTORES!$F$40,CONDUCTORES!$F$40,IF(AQ29&lt;CONDUCTORES!$F$43,CONDUCTORES!$F$43,IF(AQ29&lt;CONDUCTORES!$F$46,CONDUCTORES!$F$46,IF(AQ29&lt;CONDUCTORES!$F$49,CONDUCTORES!$F$49,IF(AQ29&lt;CONDUCTORES!$F$52,CONDUCTORES!$F$52,IF(AQ29&lt;CONDUCTORES!$F$55,CONDUCTORES!$F$55,IF(AQ29&lt;CONDUCTORES!$F$58,CONDUCTORES!$F$58,CONDUCTORES!$F$61)))))))))))),0)</f>
        <v>0</v>
      </c>
      <c r="AU29" s="435">
        <f>IF(AN29="4/C  -",IF(AQ29&lt;CONDUCTORES!$F$26,CONDUCTORES!$F$26,IF(AQ29&lt;CONDUCTORES!$F$29,CONDUCTORES!$F$29,IF(AQ29&lt;CONDUCTORES!$F$32,CONDUCTORES!$F$32,IF(AQ29&lt;CONDUCTORES!$F$35,CONDUCTORES!$F$35,IF(AQ29&lt;CONDUCTORES!$F$38,CONDUCTORES!$F$38,IF(AQ29&lt;CONDUCTORES!$F$41,CONDUCTORES!$F$41,IF(AQ29&lt;CONDUCTORES!$F$44,CONDUCTORES!$F$44,IF(AQ29&lt;CONDUCTORES!$F$47,CONDUCTORES!$F$47,IF(AQ29&lt;CONDUCTORES!$F$50,CONDUCTORES!$F$50,IF(AQ29&lt;CONDUCTORES!$F$53,CONDUCTORES!$F$53,IF(AQ29&lt;CONDUCTORES!$F$56,CONDUCTORES!$F$56,IF(AQ29&lt;CONDUCTORES!$F$59,CONDUCTORES!$F$59,CONDUCTORES!$F$62)))))))))))),0)</f>
        <v>0</v>
      </c>
      <c r="AV29" s="436">
        <f>IF(AM29="Multiconductor",IF(AN29="2/C  -",AS29,IF(AN29="3/C  -",AT29,IF(AN29="4/C  -",AU29,"NO SE CÁLCULO, REVISAR"))),IF(AQ29&lt;CONDUCTORES!$F$9,CONDUCTORES!$F$9,IF(AQ29&lt;CONDUCTORES!$F$10,CONDUCTORES!$F$10,IF(AQ29&lt;CONDUCTORES!$F$11,CONDUCTORES!$F$11,IF(AQ29&lt;CONDUCTORES!$F$12,CONDUCTORES!$F$12,IF(AQ29&lt;CONDUCTORES!$F$13,CONDUCTORES!$F$13,IF(AQ29&lt;CONDUCTORES!$F$14,CONDUCTORES!$F$14,IF(AQ29&lt;CONDUCTORES!$F$15,CONDUCTORES!$F$15,IF(AQ29&lt;CONDUCTORES!$F$16,CONDUCTORES!$F$16,IF(AQ29&lt;CONDUCTORES!$F$17,CONDUCTORES!$F$17,IF(AQ29&lt;CONDUCTORES!$F$18,CONDUCTORES!$F$18,IF(AQ29&lt;CONDUCTORES!$F$19,CONDUCTORES!$F$19,IF(AQ29&lt;CONDUCTORES!$F$20,CONDUCTORES!$F$20,IF(AQ29&lt;CONDUCTORES!$F$21,CONDUCTORES!$F$21,IF(AQ29&lt;CONDUCTORES!$F$22,CONDUCTORES!$F$22,CONDUCTORES!$F$23)))))))))))))))</f>
        <v>170.5</v>
      </c>
      <c r="AW29" s="437" t="str">
        <f>IF(AM29="Multiconductor",VLOOKUP(IF(T29=1,AV29,AR29),CONDUCTORES!$F$24:$AG$62,23,FALSE),VLOOKUP(IF(T29=1,AV29,AR29),CONDUCTORES!$F$9:$AF$23,23,FALSE))</f>
        <v>3/0 AWG</v>
      </c>
      <c r="AX29" s="437">
        <f>IF(AM29="Multiconductor",VLOOKUP(AV29,CONDUCTORES!$F$24:$AG$62,19,FALSE),VLOOKUP(AW29,CONDUCTORES!$B$9:$X$23,23,FALSE))</f>
        <v>9</v>
      </c>
      <c r="AY29" s="437" t="str">
        <f>+VLOOKUP(AW29,CONDUCTORES!$B$9:$BB$23,32,FALSE)</f>
        <v>4/0 AWG</v>
      </c>
      <c r="AZ29" s="437">
        <f>IF(AM29="Multiconductor",AX29+3,VLOOKUP(AY29,CONDUCTORES!$B$9:$X$23,23,FALSE))</f>
        <v>10</v>
      </c>
      <c r="BA29" s="438">
        <f t="shared" si="3"/>
        <v>135</v>
      </c>
      <c r="BB29" s="502">
        <f t="shared" si="24"/>
        <v>22691.960428119746</v>
      </c>
      <c r="BC29" s="439">
        <f t="shared" si="4"/>
        <v>1.8349999999999999E-8</v>
      </c>
      <c r="BD29" s="437">
        <f t="shared" si="5"/>
        <v>1.0388622431715582</v>
      </c>
      <c r="BE29" s="440">
        <f>VLOOKUP(AO29,COSTOS!$A$7:$Z$94,7,FALSE)</f>
        <v>437.06881903143585</v>
      </c>
      <c r="BF29" s="437">
        <f>((2.5)/(18*LN((VLOOKUP(N29,CONDUCTORES!$B$9:$AF$23,24,FALSE))/(VLOOKUP(N29,CONDUCTORES!$B$9:$D$23,3,FALSE)))))*-0.000000001</f>
        <v>6.1300858987958999E-11</v>
      </c>
      <c r="BG29" s="437">
        <f t="shared" si="6"/>
        <v>5.3245162116029715E-6</v>
      </c>
      <c r="BH29" s="437">
        <f>(0.12)*(5000)*(LN((VLOOKUP(N29,CONDUCTORES!$B$9:$AF$23,24,FALSE))/(VLOOKUP(N29,CONDUCTORES!$B$9:$D$23,3,FALSE))))</f>
        <v>-1359.4154259682082</v>
      </c>
      <c r="BI29" s="437">
        <f>+($BE$3)-(((J29^2)*(VLOOKUP(N29,CONDUCTORES!$B$9:$K$23,7,FALSE)))+(0.5*BG29))*(BH29)</f>
        <v>10226748.136953684</v>
      </c>
      <c r="BJ29" s="441">
        <f t="shared" si="7"/>
        <v>39885.239734119365</v>
      </c>
      <c r="BK29" s="437">
        <f>+SQRT(((8*PI()*60)/(VLOOKUP(N29,CONDUCTORES!$B$9:$K$23,7,FALSE)))*(0.0000001)*(1))</f>
        <v>1.9113426522173863E-2</v>
      </c>
      <c r="BL29" s="437">
        <f>+SQRT(((8*PI()*60)/(VLOOKUP(N29,CONDUCTORES!$B$9:$K$23,7,FALSE)))*(0.0000001)*(1))</f>
        <v>1.9113426522173863E-2</v>
      </c>
      <c r="BM29" s="442">
        <f>((BL29^4)/((192)+((0.8)*(BL29^4))))*(((VLOOKUP(N29,CONDUCTORES!$B$9:$K$23,7,FALSE))/(1))^2)*(2.9)</f>
        <v>3.4346223296691449E-10</v>
      </c>
      <c r="BN29" s="442">
        <f t="shared" si="8"/>
        <v>6.9510910363412219E-10</v>
      </c>
      <c r="BO29" s="437">
        <f t="shared" si="9"/>
        <v>3.8862242092625746E-2</v>
      </c>
      <c r="BP29" s="437">
        <v>0</v>
      </c>
      <c r="BQ29" s="434">
        <f>(IF(AM29="Multiconductor",VLOOKUP(AX29,CONDUCTORES!$A$24:$G$62,6,FALSE),VLOOKUP(AW29,CONDUCTORES!$B$9:$F$23,5,FALSE)))*(T29)</f>
        <v>170.5</v>
      </c>
      <c r="BR29" s="434">
        <f>(IF(AM29="Multiconductor",VLOOKUP(AZ29,CONDUCTORES!$A$24:$G$62,6,FALSE),VLOOKUP(AY29,CONDUCTORES!$B$9:$F$23,5,FALSE)))*(T29)</f>
        <v>206.3</v>
      </c>
      <c r="BS29" s="443">
        <f t="shared" si="10"/>
        <v>1.2634209996060904E-4</v>
      </c>
      <c r="BT29" s="443">
        <f t="shared" si="11"/>
        <v>1.0441748930336325E-4</v>
      </c>
      <c r="BU29" s="443">
        <f t="shared" si="12"/>
        <v>1.8301892984948036E-4</v>
      </c>
      <c r="BV29" s="444">
        <f t="shared" si="13"/>
        <v>261250.81261835273</v>
      </c>
      <c r="BW29" s="444">
        <f t="shared" si="14"/>
        <v>215914.99540198321</v>
      </c>
      <c r="BX29" s="444">
        <f t="shared" si="15"/>
        <v>378447.43883966981</v>
      </c>
      <c r="BY29" s="444">
        <f>VLOOKUP(AX29,COSTOS!$A$7:$I$60,4,FALSE)</f>
        <v>57908.8272</v>
      </c>
      <c r="BZ29" s="444">
        <f>VLOOKUP(AX29,COSTOS!$A$7:$I$60,5,FALSE)</f>
        <v>29908</v>
      </c>
      <c r="CA29" s="444">
        <f t="shared" si="16"/>
        <v>87816.8272</v>
      </c>
      <c r="CB29" s="444">
        <f t="shared" si="17"/>
        <v>1317252.4080000001</v>
      </c>
      <c r="CC29" s="444">
        <f>VLOOKUP(AZ29,COSTOS!$A$7:$I$60,4,FALSE)</f>
        <v>70582.42240000001</v>
      </c>
      <c r="CD29" s="444">
        <f>VLOOKUP(AZ29,COSTOS!$A$7:$I$60,5,FALSE)</f>
        <v>29908</v>
      </c>
      <c r="CE29" s="444">
        <f t="shared" si="18"/>
        <v>100490.42240000001</v>
      </c>
      <c r="CF29" s="444">
        <f t="shared" si="19"/>
        <v>1507356.3360000001</v>
      </c>
      <c r="CG29" s="444">
        <f>VLOOKUP(AO29,COSTOS!$A$7:$I$60,4,FALSE)</f>
        <v>36274.817600000002</v>
      </c>
      <c r="CH29" s="444">
        <f>VLOOKUP(AO29,COSTOS!$A$7:$I$60,5,FALSE)</f>
        <v>29908</v>
      </c>
      <c r="CI29" s="444">
        <f t="shared" si="20"/>
        <v>66182.817600000009</v>
      </c>
      <c r="CJ29" s="444">
        <f t="shared" si="25"/>
        <v>992742.2640000002</v>
      </c>
      <c r="CK29" s="444">
        <f t="shared" si="21"/>
        <v>1578503.2206183528</v>
      </c>
      <c r="CL29" s="444">
        <f t="shared" si="22"/>
        <v>1723271.3314019833</v>
      </c>
      <c r="CM29" s="444">
        <f t="shared" si="23"/>
        <v>1371189.70283967</v>
      </c>
      <c r="CN29" s="445" t="str">
        <f>IF(VLOOKUP(C29,'H2-CONDUCTORES DE BT'!$D$19:$BH$499,23,FALSE)="AÉREO","SI","NO")</f>
        <v>NO</v>
      </c>
      <c r="CO29" s="446"/>
      <c r="CP29" s="446"/>
      <c r="CQ29" s="446"/>
      <c r="CR29" s="446"/>
    </row>
    <row r="30" spans="1:96" s="371" customFormat="1" ht="15" customHeight="1" x14ac:dyDescent="0.25">
      <c r="A30" s="372"/>
      <c r="B30" s="465"/>
      <c r="C30" s="466"/>
      <c r="D30" s="467"/>
      <c r="E30" s="468"/>
      <c r="F30" s="468"/>
      <c r="G30" s="469"/>
      <c r="H30" s="469"/>
      <c r="I30" s="469"/>
      <c r="J30" s="470"/>
      <c r="K30" s="471"/>
      <c r="L30" s="472"/>
      <c r="M30" s="472"/>
      <c r="N30" s="472"/>
      <c r="O30" s="373"/>
      <c r="P30" s="364"/>
      <c r="Q30" s="473"/>
      <c r="R30" s="474"/>
      <c r="S30" s="474"/>
      <c r="T30" s="474"/>
      <c r="U30" s="474"/>
      <c r="V30" s="474"/>
      <c r="W30" s="474"/>
      <c r="X30" s="349"/>
      <c r="Y30" s="392"/>
      <c r="Z30" s="392"/>
      <c r="AA30" s="392"/>
      <c r="AB30" s="392"/>
      <c r="AC30" s="392"/>
      <c r="AD30" s="392"/>
      <c r="AE30" s="392"/>
      <c r="AF30" s="392"/>
      <c r="AG30" s="392"/>
      <c r="AH30" s="369"/>
      <c r="AI30" s="369"/>
      <c r="AJ30" s="369"/>
      <c r="AK30" s="369"/>
      <c r="AL30" s="369"/>
      <c r="AM30" s="366"/>
      <c r="AN30" s="367"/>
      <c r="AO30" s="409"/>
      <c r="AP30" s="409"/>
      <c r="AQ30" s="409"/>
      <c r="AR30" s="409"/>
      <c r="AS30" s="409"/>
      <c r="AT30" s="409"/>
      <c r="AU30" s="409"/>
      <c r="AV30" s="409"/>
      <c r="AW30" s="409"/>
      <c r="AX30" s="409"/>
      <c r="AY30" s="409"/>
      <c r="AZ30" s="409"/>
      <c r="BA30" s="475"/>
      <c r="BB30" s="409"/>
      <c r="BC30" s="409"/>
      <c r="BD30" s="409"/>
      <c r="BE30" s="409"/>
      <c r="BF30" s="409"/>
      <c r="BG30" s="409"/>
      <c r="BH30" s="409"/>
      <c r="BI30" s="409"/>
      <c r="BJ30" s="476"/>
      <c r="BK30" s="409"/>
      <c r="BL30" s="409"/>
      <c r="BM30" s="477"/>
      <c r="BN30" s="477"/>
      <c r="BO30" s="451"/>
      <c r="BP30" s="409"/>
      <c r="BQ30" s="409"/>
      <c r="BR30" s="409"/>
      <c r="BS30" s="453"/>
      <c r="BT30" s="453"/>
      <c r="BU30" s="409"/>
      <c r="BV30" s="454"/>
      <c r="BW30" s="455"/>
      <c r="BX30" s="347"/>
      <c r="BY30" s="455"/>
      <c r="BZ30" s="409"/>
      <c r="CA30" s="455"/>
      <c r="CB30" s="455"/>
      <c r="CC30" s="456"/>
      <c r="CD30" s="456"/>
      <c r="CE30" s="478"/>
      <c r="CF30" s="478"/>
      <c r="CG30" s="478"/>
      <c r="CH30" s="478"/>
      <c r="CI30" s="479"/>
      <c r="CJ30" s="479"/>
      <c r="CK30" s="459"/>
      <c r="CL30" s="459"/>
      <c r="CM30" s="459"/>
      <c r="CN30" s="409"/>
      <c r="CO30" s="408"/>
      <c r="CP30" s="408"/>
      <c r="CQ30" s="408"/>
      <c r="CR30" s="408"/>
    </row>
    <row r="31" spans="1:96" s="408" customFormat="1" ht="23.25" customHeight="1" x14ac:dyDescent="0.25">
      <c r="A31" s="372"/>
      <c r="B31" s="1952" t="s">
        <v>1251</v>
      </c>
      <c r="C31" s="1953"/>
      <c r="D31" s="1953"/>
      <c r="E31" s="1953"/>
      <c r="F31" s="1953"/>
      <c r="G31" s="1953"/>
      <c r="H31" s="1953"/>
      <c r="I31" s="1953"/>
      <c r="J31" s="1953"/>
      <c r="K31" s="1953"/>
      <c r="L31" s="1953"/>
      <c r="M31" s="1953"/>
      <c r="N31" s="1953"/>
      <c r="O31" s="1954"/>
      <c r="P31" s="364"/>
      <c r="Q31" s="480" t="s">
        <v>1228</v>
      </c>
      <c r="R31" s="480" t="s">
        <v>1229</v>
      </c>
      <c r="S31" s="480" t="s">
        <v>1252</v>
      </c>
      <c r="T31" s="1945" t="str">
        <f>"Considera las pérdidas de energía en un período de "&amp;AF14&amp;" AÑOS más el costo inicial de instalación del conductor"</f>
        <v>Considera las pérdidas de energía en un período de 20 AÑOS más el costo inicial de instalación del conductor</v>
      </c>
      <c r="U31" s="1945"/>
      <c r="V31" s="1945"/>
      <c r="W31" s="1945"/>
      <c r="X31" s="1945"/>
      <c r="Y31" s="392"/>
      <c r="Z31" s="392"/>
      <c r="AA31" s="392"/>
      <c r="AB31" s="392"/>
      <c r="AC31" s="392"/>
      <c r="AD31" s="392"/>
      <c r="AE31" s="392"/>
      <c r="AF31" s="392"/>
      <c r="AG31" s="392"/>
      <c r="AH31" s="369"/>
      <c r="AI31" s="369"/>
      <c r="AJ31" s="369"/>
      <c r="AK31" s="369"/>
      <c r="AL31" s="369"/>
      <c r="AM31" s="366"/>
      <c r="AN31" s="367"/>
      <c r="AO31" s="409"/>
      <c r="AP31" s="409"/>
      <c r="AQ31" s="409"/>
      <c r="AR31" s="409"/>
      <c r="AS31" s="409"/>
      <c r="AT31" s="409"/>
      <c r="AU31" s="409"/>
      <c r="AV31" s="409"/>
      <c r="AW31" s="409"/>
      <c r="AX31" s="409"/>
      <c r="AY31" s="409"/>
      <c r="AZ31" s="409"/>
      <c r="BA31" s="475"/>
      <c r="BB31" s="409"/>
      <c r="BC31" s="409"/>
      <c r="BD31" s="409"/>
      <c r="BE31" s="409"/>
      <c r="BF31" s="409"/>
      <c r="BG31" s="409"/>
      <c r="BH31" s="409"/>
      <c r="BI31" s="409"/>
      <c r="BJ31" s="476"/>
      <c r="BK31" s="409"/>
      <c r="BL31" s="409"/>
      <c r="BM31" s="477"/>
      <c r="BN31" s="477"/>
      <c r="BO31" s="451"/>
      <c r="BP31" s="409"/>
      <c r="BQ31" s="409"/>
      <c r="BR31" s="409"/>
      <c r="BS31" s="453"/>
      <c r="BT31" s="453"/>
      <c r="BU31" s="409"/>
      <c r="BV31" s="481" t="s">
        <v>1228</v>
      </c>
      <c r="BW31" s="481" t="s">
        <v>1229</v>
      </c>
      <c r="BX31" s="481" t="s">
        <v>1252</v>
      </c>
      <c r="BY31" s="455"/>
      <c r="BZ31" s="409"/>
      <c r="CA31" s="409"/>
      <c r="CB31" s="481" t="s">
        <v>1228</v>
      </c>
      <c r="CC31" s="409"/>
      <c r="CD31" s="409"/>
      <c r="CE31" s="409"/>
      <c r="CF31" s="481" t="s">
        <v>1229</v>
      </c>
      <c r="CG31" s="409"/>
      <c r="CH31" s="409"/>
      <c r="CI31" s="409"/>
      <c r="CJ31" s="481" t="s">
        <v>1252</v>
      </c>
      <c r="CK31" s="481" t="s">
        <v>1228</v>
      </c>
      <c r="CL31" s="481" t="s">
        <v>1229</v>
      </c>
      <c r="CM31" s="481" t="s">
        <v>1252</v>
      </c>
      <c r="CN31" s="409"/>
    </row>
    <row r="32" spans="1:96" s="408" customFormat="1" ht="23.25" customHeight="1" x14ac:dyDescent="0.25">
      <c r="A32" s="372"/>
      <c r="B32" s="1955"/>
      <c r="C32" s="1956"/>
      <c r="D32" s="1956"/>
      <c r="E32" s="1956"/>
      <c r="F32" s="1956"/>
      <c r="G32" s="1956"/>
      <c r="H32" s="1956"/>
      <c r="I32" s="1956"/>
      <c r="J32" s="1956"/>
      <c r="K32" s="1956"/>
      <c r="L32" s="1956"/>
      <c r="M32" s="1956"/>
      <c r="N32" s="1956"/>
      <c r="O32" s="1957"/>
      <c r="P32" s="364"/>
      <c r="Q32" s="482" t="e">
        <f>SUM(Q15:Q30)</f>
        <v>#N/A</v>
      </c>
      <c r="R32" s="482" t="e">
        <f>SUM(R15:R30)</f>
        <v>#N/A</v>
      </c>
      <c r="S32" s="482" t="e">
        <f>SUM(S15:S30)</f>
        <v>#N/A</v>
      </c>
      <c r="T32" s="1945"/>
      <c r="U32" s="1945"/>
      <c r="V32" s="1945"/>
      <c r="W32" s="1945"/>
      <c r="X32" s="1945"/>
      <c r="Y32" s="392"/>
      <c r="Z32" s="392"/>
      <c r="AA32" s="392"/>
      <c r="AB32" s="392"/>
      <c r="AC32" s="392"/>
      <c r="AD32" s="392"/>
      <c r="AE32" s="392"/>
      <c r="AF32" s="392"/>
      <c r="AG32" s="392"/>
      <c r="AH32" s="369"/>
      <c r="AI32" s="369"/>
      <c r="AJ32" s="369"/>
      <c r="AK32" s="369"/>
      <c r="AL32" s="369"/>
      <c r="AM32" s="366"/>
      <c r="AN32" s="367"/>
      <c r="AO32" s="409"/>
      <c r="AP32" s="409"/>
      <c r="AQ32" s="409"/>
      <c r="AR32" s="409"/>
      <c r="AS32" s="409"/>
      <c r="AT32" s="409"/>
      <c r="AU32" s="409"/>
      <c r="AV32" s="409"/>
      <c r="AW32" s="409"/>
      <c r="AX32" s="409"/>
      <c r="AY32" s="409"/>
      <c r="AZ32" s="409"/>
      <c r="BA32" s="475"/>
      <c r="BB32" s="409"/>
      <c r="BC32" s="409"/>
      <c r="BD32" s="409"/>
      <c r="BE32" s="409"/>
      <c r="BF32" s="409"/>
      <c r="BG32" s="409"/>
      <c r="BH32" s="409"/>
      <c r="BI32" s="409"/>
      <c r="BJ32" s="476"/>
      <c r="BK32" s="409"/>
      <c r="BL32" s="409"/>
      <c r="BM32" s="477"/>
      <c r="BN32" s="477"/>
      <c r="BO32" s="451"/>
      <c r="BP32" s="409"/>
      <c r="BQ32" s="409"/>
      <c r="BR32" s="409"/>
      <c r="BS32" s="453"/>
      <c r="BT32" s="453"/>
      <c r="BU32" s="409"/>
      <c r="BV32" s="483" t="e">
        <f>SUM(BV15:BV30)</f>
        <v>#N/A</v>
      </c>
      <c r="BW32" s="483" t="e">
        <f>SUM(BW15:BW30)</f>
        <v>#N/A</v>
      </c>
      <c r="BX32" s="483" t="e">
        <f>SUM(BX15:BX30)</f>
        <v>#N/A</v>
      </c>
      <c r="BY32" s="455"/>
      <c r="BZ32" s="409"/>
      <c r="CA32" s="409"/>
      <c r="CB32" s="483" t="e">
        <f>SUM(CB15:CB30)</f>
        <v>#N/A</v>
      </c>
      <c r="CC32" s="409"/>
      <c r="CD32" s="409"/>
      <c r="CE32" s="409"/>
      <c r="CF32" s="483" t="e">
        <f>SUM(CF15:CF30)</f>
        <v>#N/A</v>
      </c>
      <c r="CG32" s="409"/>
      <c r="CH32" s="409"/>
      <c r="CI32" s="409"/>
      <c r="CJ32" s="483" t="e">
        <f>SUM(CJ15:CJ30)</f>
        <v>#N/A</v>
      </c>
      <c r="CK32" s="483" t="e">
        <f>SUM(CK15:CK30)</f>
        <v>#N/A</v>
      </c>
      <c r="CL32" s="483" t="e">
        <f>SUM(CL15:CL30)</f>
        <v>#N/A</v>
      </c>
      <c r="CM32" s="483" t="e">
        <f>SUM(CM15:CM30)</f>
        <v>#N/A</v>
      </c>
      <c r="CN32" s="409"/>
    </row>
    <row r="33" spans="1:96" s="357" customFormat="1" ht="18" customHeight="1" x14ac:dyDescent="0.25">
      <c r="A33" s="344"/>
      <c r="B33" s="484"/>
      <c r="C33" s="485"/>
      <c r="D33" s="485"/>
      <c r="E33" s="485"/>
      <c r="F33" s="485"/>
      <c r="G33" s="485"/>
      <c r="H33" s="485"/>
      <c r="I33" s="485"/>
      <c r="J33" s="485"/>
      <c r="K33" s="485"/>
      <c r="L33" s="485"/>
      <c r="M33" s="486"/>
      <c r="N33" s="485"/>
      <c r="O33" s="485"/>
      <c r="P33" s="364"/>
      <c r="Q33" s="487"/>
      <c r="R33" s="488"/>
      <c r="S33" s="488"/>
      <c r="T33" s="474"/>
      <c r="U33" s="488"/>
      <c r="V33" s="488"/>
      <c r="W33" s="488"/>
      <c r="Y33" s="392"/>
      <c r="Z33" s="392"/>
      <c r="AA33" s="392"/>
      <c r="AB33" s="392"/>
      <c r="AC33" s="392"/>
      <c r="AD33" s="392"/>
      <c r="AE33" s="392"/>
      <c r="AF33" s="392"/>
      <c r="AG33" s="392"/>
      <c r="AH33" s="369"/>
      <c r="AI33" s="369"/>
      <c r="AJ33" s="369"/>
      <c r="AK33" s="369"/>
      <c r="AL33" s="369"/>
      <c r="AM33" s="366"/>
      <c r="AN33" s="367"/>
      <c r="AO33" s="409"/>
      <c r="AP33" s="409"/>
      <c r="AQ33" s="409"/>
      <c r="AR33" s="409"/>
      <c r="AS33" s="409"/>
      <c r="AT33" s="409"/>
      <c r="AU33" s="409"/>
      <c r="AV33" s="409"/>
      <c r="AW33" s="409"/>
      <c r="AX33" s="409"/>
      <c r="AY33" s="409"/>
      <c r="AZ33" s="409"/>
      <c r="BA33" s="475"/>
      <c r="BB33" s="409"/>
      <c r="BC33" s="409"/>
      <c r="BD33" s="409"/>
      <c r="BE33" s="409"/>
      <c r="BF33" s="409"/>
      <c r="BG33" s="409"/>
      <c r="BH33" s="409"/>
      <c r="BI33" s="409"/>
      <c r="BJ33" s="476"/>
      <c r="BK33" s="409"/>
      <c r="BL33" s="409"/>
      <c r="BM33" s="477"/>
      <c r="BN33" s="477"/>
      <c r="BO33" s="451"/>
      <c r="BP33" s="409"/>
      <c r="BQ33" s="409"/>
      <c r="BR33" s="409"/>
      <c r="BS33" s="453"/>
      <c r="BT33" s="453"/>
      <c r="BU33" s="409"/>
      <c r="CN33" s="409"/>
      <c r="CO33" s="363"/>
      <c r="CP33" s="363"/>
      <c r="CQ33" s="363"/>
      <c r="CR33" s="363"/>
    </row>
    <row r="34" spans="1:96" s="357" customFormat="1" ht="18" customHeight="1" x14ac:dyDescent="0.25">
      <c r="A34" s="344"/>
      <c r="B34" s="484"/>
      <c r="C34" s="485"/>
      <c r="D34" s="485"/>
      <c r="E34" s="485"/>
      <c r="F34" s="485"/>
      <c r="G34" s="485"/>
      <c r="H34" s="485"/>
      <c r="I34" s="485"/>
      <c r="J34" s="485"/>
      <c r="K34" s="485"/>
      <c r="L34" s="485"/>
      <c r="M34" s="486"/>
      <c r="N34" s="485"/>
      <c r="O34" s="485"/>
      <c r="P34" s="364"/>
      <c r="Q34" s="487"/>
      <c r="R34" s="488"/>
      <c r="S34" s="488"/>
      <c r="T34" s="488"/>
      <c r="U34" s="488"/>
      <c r="V34" s="488"/>
      <c r="W34" s="488"/>
      <c r="AF34" s="489"/>
      <c r="AH34" s="369"/>
      <c r="AI34" s="369"/>
      <c r="AJ34" s="369"/>
      <c r="AK34" s="369"/>
      <c r="AL34" s="369"/>
      <c r="AM34" s="366"/>
      <c r="AN34" s="367"/>
      <c r="AO34" s="409"/>
      <c r="AP34" s="409"/>
      <c r="AQ34" s="409"/>
      <c r="AR34" s="409"/>
      <c r="AS34" s="409"/>
      <c r="AT34" s="409"/>
      <c r="AU34" s="409"/>
      <c r="AV34" s="409"/>
      <c r="AW34" s="409"/>
      <c r="AX34" s="409"/>
      <c r="AY34" s="409"/>
      <c r="AZ34" s="409"/>
      <c r="BA34" s="475"/>
      <c r="BB34" s="409"/>
      <c r="BC34" s="409"/>
      <c r="BD34" s="409"/>
      <c r="BE34" s="409"/>
      <c r="BF34" s="409"/>
      <c r="BG34" s="409"/>
      <c r="BH34" s="409"/>
      <c r="BI34" s="409"/>
      <c r="BJ34" s="476"/>
      <c r="BK34" s="409"/>
      <c r="BL34" s="409"/>
      <c r="BM34" s="477"/>
      <c r="BN34" s="477"/>
      <c r="BO34" s="451"/>
      <c r="BP34" s="409"/>
      <c r="BQ34" s="409"/>
      <c r="BR34" s="409"/>
      <c r="BS34" s="453"/>
      <c r="BT34" s="453"/>
      <c r="BU34" s="409"/>
      <c r="BV34" s="454"/>
      <c r="BW34" s="455"/>
      <c r="BX34" s="347"/>
      <c r="BY34" s="455"/>
      <c r="BZ34" s="409"/>
      <c r="CA34" s="455"/>
      <c r="CB34" s="455"/>
      <c r="CC34" s="456"/>
      <c r="CD34" s="456"/>
      <c r="CE34" s="478"/>
      <c r="CF34" s="478"/>
      <c r="CG34" s="478"/>
      <c r="CH34" s="478"/>
      <c r="CI34" s="479"/>
      <c r="CJ34" s="479"/>
      <c r="CK34" s="459"/>
      <c r="CL34" s="459"/>
      <c r="CM34" s="459"/>
      <c r="CN34" s="409"/>
      <c r="CO34" s="363"/>
      <c r="CP34" s="363"/>
      <c r="CQ34" s="363"/>
      <c r="CR34" s="363"/>
    </row>
    <row r="35" spans="1:96" s="337" customFormat="1" ht="27.75" customHeight="1" x14ac:dyDescent="0.25">
      <c r="A35" s="394"/>
      <c r="B35" s="349"/>
      <c r="C35" s="349"/>
      <c r="D35" s="349"/>
      <c r="E35" s="349"/>
      <c r="F35" s="349"/>
      <c r="G35" s="349"/>
      <c r="H35" s="357"/>
      <c r="I35" s="349"/>
      <c r="J35" s="349"/>
      <c r="K35" s="349"/>
      <c r="L35" s="349"/>
      <c r="M35" s="490"/>
      <c r="N35" s="349"/>
      <c r="O35" s="349"/>
      <c r="P35" s="349"/>
      <c r="Q35" s="349"/>
      <c r="R35" s="349"/>
      <c r="S35" s="349"/>
      <c r="T35" s="349"/>
      <c r="U35" s="349"/>
      <c r="V35" s="349"/>
      <c r="W35" s="349"/>
      <c r="AF35" s="491"/>
      <c r="AH35" s="369"/>
      <c r="AI35" s="369"/>
      <c r="AJ35" s="369"/>
      <c r="AK35" s="369"/>
      <c r="AL35" s="369"/>
      <c r="AM35" s="366"/>
      <c r="AN35" s="367"/>
      <c r="AO35" s="409"/>
      <c r="AP35" s="409"/>
      <c r="AQ35" s="409"/>
      <c r="AR35" s="409"/>
      <c r="AS35" s="409"/>
      <c r="AT35" s="409"/>
      <c r="AU35" s="409"/>
      <c r="AV35" s="409"/>
      <c r="AW35" s="409"/>
      <c r="AX35" s="409"/>
      <c r="AY35" s="409"/>
      <c r="AZ35" s="409"/>
      <c r="BA35" s="475"/>
      <c r="BB35" s="409"/>
      <c r="BC35" s="409"/>
      <c r="BD35" s="409"/>
      <c r="BE35" s="409"/>
      <c r="BF35" s="409"/>
      <c r="BG35" s="409"/>
      <c r="BH35" s="409"/>
      <c r="BI35" s="409"/>
      <c r="BJ35" s="476"/>
      <c r="BK35" s="409"/>
      <c r="BL35" s="409"/>
      <c r="BM35" s="477"/>
      <c r="BN35" s="477"/>
      <c r="BO35" s="451"/>
      <c r="BP35" s="409"/>
      <c r="BQ35" s="409"/>
      <c r="BR35" s="409"/>
      <c r="BS35" s="453"/>
      <c r="BT35" s="453"/>
      <c r="BU35" s="409"/>
      <c r="BV35" s="454"/>
      <c r="BW35" s="455"/>
      <c r="BX35" s="347"/>
      <c r="BY35" s="455"/>
      <c r="BZ35" s="409"/>
      <c r="CA35" s="455"/>
      <c r="CB35" s="455"/>
      <c r="CC35" s="456"/>
      <c r="CD35" s="456"/>
      <c r="CE35" s="478"/>
      <c r="CF35" s="478"/>
      <c r="CG35" s="478"/>
      <c r="CH35" s="478"/>
      <c r="CI35" s="479"/>
      <c r="CJ35" s="479"/>
      <c r="CK35" s="459"/>
      <c r="CL35" s="459"/>
      <c r="CM35" s="459"/>
      <c r="CN35" s="409"/>
      <c r="CO35" s="491"/>
      <c r="CP35" s="491"/>
      <c r="CQ35" s="491"/>
      <c r="CR35" s="491"/>
    </row>
    <row r="36" spans="1:96" s="370" customFormat="1" ht="23.25" customHeight="1" x14ac:dyDescent="0.25">
      <c r="A36" s="344"/>
    </row>
    <row r="37" spans="1:96" ht="23.25" customHeight="1" x14ac:dyDescent="0.25">
      <c r="Q37" s="370"/>
      <c r="R37" s="370"/>
      <c r="S37" s="370"/>
      <c r="T37" s="370"/>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370"/>
      <c r="AT37" s="370"/>
      <c r="AU37" s="370"/>
      <c r="AV37" s="370"/>
      <c r="AW37" s="370"/>
      <c r="AX37" s="370"/>
      <c r="AY37" s="370"/>
      <c r="AZ37" s="370"/>
      <c r="BA37" s="370"/>
      <c r="BB37" s="370"/>
      <c r="BC37" s="370"/>
      <c r="BD37" s="370"/>
      <c r="BE37" s="370"/>
      <c r="BF37" s="370"/>
      <c r="BG37" s="370"/>
      <c r="BH37" s="370"/>
      <c r="BI37" s="370"/>
      <c r="BJ37" s="370"/>
      <c r="BK37" s="370"/>
      <c r="BL37" s="370"/>
      <c r="BM37" s="370"/>
      <c r="BN37" s="370"/>
      <c r="BO37" s="370"/>
      <c r="BP37" s="370"/>
      <c r="BQ37" s="370"/>
      <c r="BR37" s="370"/>
      <c r="BS37" s="370"/>
      <c r="BT37" s="370"/>
      <c r="BU37" s="370"/>
      <c r="BV37" s="370"/>
      <c r="BW37" s="370"/>
      <c r="BX37" s="370"/>
      <c r="BY37" s="370"/>
      <c r="BZ37" s="370"/>
      <c r="CA37" s="370"/>
      <c r="CB37" s="370"/>
      <c r="CC37" s="370"/>
      <c r="CD37" s="370"/>
      <c r="CE37" s="370"/>
      <c r="CF37" s="370"/>
      <c r="CG37" s="370"/>
      <c r="CH37" s="370"/>
      <c r="CI37" s="370"/>
      <c r="CJ37" s="370"/>
      <c r="CK37" s="370"/>
      <c r="CL37" s="370"/>
      <c r="CM37" s="370"/>
      <c r="CN37" s="370"/>
    </row>
    <row r="38" spans="1:96" ht="23.25" customHeight="1" x14ac:dyDescent="0.25">
      <c r="AH38" s="369"/>
      <c r="AI38" s="369"/>
      <c r="AJ38" s="369"/>
      <c r="AK38" s="369"/>
      <c r="AL38" s="369"/>
      <c r="AM38" s="366"/>
      <c r="AN38" s="367"/>
      <c r="AO38" s="409"/>
      <c r="CE38" s="478"/>
      <c r="CF38" s="478"/>
      <c r="CG38" s="478"/>
      <c r="CH38" s="478"/>
      <c r="CI38" s="479"/>
      <c r="CJ38" s="479"/>
      <c r="CK38" s="459"/>
      <c r="CL38" s="459"/>
      <c r="CM38" s="459"/>
      <c r="CN38" s="409"/>
    </row>
    <row r="39" spans="1:96" ht="23.25" customHeight="1" x14ac:dyDescent="0.25">
      <c r="AH39" s="369"/>
      <c r="AI39" s="369"/>
      <c r="AJ39" s="369"/>
      <c r="AK39" s="369"/>
      <c r="AL39" s="369"/>
      <c r="AM39" s="366"/>
      <c r="AN39" s="367"/>
      <c r="AO39" s="409"/>
      <c r="AP39" s="409"/>
      <c r="AQ39" s="409"/>
      <c r="AR39" s="409"/>
      <c r="AS39" s="409"/>
      <c r="AT39" s="409"/>
      <c r="AU39" s="409"/>
      <c r="AV39" s="409"/>
      <c r="AW39" s="409"/>
      <c r="AX39" s="409"/>
      <c r="AY39" s="409"/>
      <c r="AZ39" s="409"/>
      <c r="BA39" s="475"/>
      <c r="BB39" s="409"/>
      <c r="BC39" s="409"/>
      <c r="BD39" s="409"/>
      <c r="BE39" s="409"/>
      <c r="BF39" s="409"/>
      <c r="BG39" s="409"/>
      <c r="BH39" s="409"/>
      <c r="BI39" s="409"/>
      <c r="BJ39" s="476"/>
      <c r="CE39" s="478"/>
      <c r="CF39" s="478"/>
      <c r="CG39" s="478"/>
      <c r="CH39" s="478"/>
      <c r="CI39" s="479"/>
      <c r="CJ39" s="479"/>
      <c r="CK39" s="459"/>
      <c r="CL39" s="459"/>
      <c r="CM39" s="459"/>
      <c r="CN39" s="409"/>
    </row>
    <row r="40" spans="1:96" ht="23.25" customHeight="1" x14ac:dyDescent="0.25">
      <c r="AH40" s="369"/>
      <c r="AI40" s="369"/>
      <c r="AJ40" s="369"/>
      <c r="AK40" s="369"/>
      <c r="AL40" s="360"/>
      <c r="AM40" s="366"/>
      <c r="AN40" s="367"/>
      <c r="AO40" s="409"/>
      <c r="AP40" s="409"/>
      <c r="AQ40" s="409"/>
      <c r="AR40" s="409"/>
      <c r="AS40" s="409"/>
      <c r="AT40" s="409"/>
      <c r="AU40" s="409"/>
      <c r="AV40" s="409"/>
      <c r="AW40" s="409"/>
      <c r="AX40" s="409"/>
      <c r="AY40" s="409"/>
      <c r="AZ40" s="409"/>
      <c r="BA40" s="475"/>
      <c r="BB40" s="409"/>
      <c r="BC40" s="409"/>
      <c r="BD40" s="409"/>
      <c r="BE40" s="409"/>
      <c r="BF40" s="409"/>
      <c r="BG40" s="409"/>
      <c r="BH40" s="409"/>
      <c r="BI40" s="409"/>
      <c r="BJ40" s="476"/>
      <c r="BK40" s="409"/>
      <c r="BL40" s="409"/>
      <c r="BM40" s="477"/>
      <c r="BN40" s="477"/>
      <c r="BO40" s="451"/>
      <c r="BP40" s="409"/>
      <c r="BQ40" s="409"/>
      <c r="BR40" s="409"/>
      <c r="BS40" s="453"/>
      <c r="BT40" s="453"/>
      <c r="BU40" s="409"/>
      <c r="BV40" s="454"/>
      <c r="BW40" s="455"/>
      <c r="BX40" s="347"/>
      <c r="BY40" s="455"/>
      <c r="BZ40" s="409"/>
      <c r="CA40" s="455"/>
      <c r="CB40" s="455"/>
      <c r="CC40" s="456"/>
      <c r="CD40" s="456"/>
      <c r="CE40" s="478"/>
      <c r="CF40" s="478"/>
      <c r="CG40" s="478"/>
      <c r="CH40" s="478"/>
      <c r="CI40" s="479"/>
      <c r="CJ40" s="479"/>
      <c r="CK40" s="459"/>
      <c r="CL40" s="459"/>
      <c r="CM40" s="459"/>
      <c r="CN40" s="409"/>
    </row>
    <row r="41" spans="1:96" ht="23.25" customHeight="1" x14ac:dyDescent="0.25">
      <c r="AH41" s="369"/>
      <c r="AI41" s="369"/>
      <c r="AJ41" s="369"/>
      <c r="AK41" s="369"/>
      <c r="AL41" s="360"/>
      <c r="AM41" s="366"/>
      <c r="AN41" s="367"/>
      <c r="AO41" s="409"/>
      <c r="AP41" s="409"/>
      <c r="AQ41" s="409"/>
      <c r="AR41" s="409"/>
      <c r="AS41" s="409"/>
      <c r="AT41" s="409"/>
      <c r="AU41" s="409"/>
      <c r="AV41" s="409"/>
      <c r="AW41" s="409"/>
      <c r="AX41" s="409"/>
      <c r="AY41" s="409"/>
      <c r="AZ41" s="409"/>
      <c r="BA41" s="409"/>
      <c r="BB41" s="409"/>
      <c r="BC41" s="409"/>
      <c r="BD41" s="409"/>
      <c r="BE41" s="409"/>
      <c r="BF41" s="409"/>
      <c r="BG41" s="409"/>
      <c r="BH41" s="409"/>
      <c r="BI41" s="409"/>
      <c r="BJ41" s="409"/>
      <c r="BK41" s="409"/>
      <c r="BL41" s="409"/>
      <c r="BM41" s="409"/>
      <c r="BN41" s="409"/>
      <c r="BO41" s="409"/>
      <c r="BP41" s="409"/>
      <c r="BQ41" s="409"/>
      <c r="BR41" s="409"/>
      <c r="BS41" s="409"/>
      <c r="BT41" s="409"/>
      <c r="BU41" s="409"/>
      <c r="BV41" s="454"/>
      <c r="BW41" s="455"/>
      <c r="BX41" s="347"/>
      <c r="BY41" s="455"/>
      <c r="BZ41" s="409"/>
      <c r="CA41" s="455"/>
      <c r="CB41" s="455"/>
      <c r="CC41" s="456"/>
      <c r="CD41" s="456"/>
      <c r="CE41" s="409"/>
      <c r="CF41" s="409"/>
      <c r="CG41" s="409"/>
      <c r="CH41" s="409"/>
      <c r="CI41" s="492"/>
      <c r="CJ41" s="492"/>
      <c r="CK41" s="459"/>
      <c r="CL41" s="459"/>
      <c r="CM41" s="449"/>
      <c r="CN41" s="409"/>
    </row>
    <row r="42" spans="1:96" ht="23.25" customHeight="1" x14ac:dyDescent="0.25">
      <c r="AH42" s="369"/>
      <c r="AI42" s="369"/>
      <c r="AJ42" s="369"/>
      <c r="AK42" s="369"/>
      <c r="AL42" s="360"/>
      <c r="AM42" s="366"/>
      <c r="AN42" s="367"/>
      <c r="AO42" s="409"/>
      <c r="BV42" s="454"/>
      <c r="BW42" s="455"/>
      <c r="BX42" s="347"/>
      <c r="BY42" s="455"/>
      <c r="BZ42" s="409"/>
      <c r="CA42" s="455"/>
      <c r="CB42" s="455"/>
      <c r="CC42" s="456"/>
      <c r="CD42" s="456"/>
      <c r="CI42" s="493"/>
      <c r="CJ42" s="493"/>
      <c r="CK42" s="494"/>
      <c r="CL42" s="494"/>
      <c r="CM42" s="494"/>
    </row>
    <row r="43" spans="1:96" ht="23.25" customHeight="1" x14ac:dyDescent="0.25">
      <c r="AH43" s="369"/>
      <c r="AI43" s="369"/>
      <c r="AJ43" s="369"/>
      <c r="AK43" s="369"/>
      <c r="AL43" s="360"/>
      <c r="AM43" s="366"/>
      <c r="AN43" s="367"/>
      <c r="AO43" s="409"/>
      <c r="AP43" s="456"/>
      <c r="AQ43" s="456"/>
      <c r="AR43" s="456"/>
      <c r="AS43" s="456"/>
      <c r="AT43" s="456"/>
      <c r="AU43" s="456"/>
      <c r="AV43" s="456"/>
      <c r="AW43" s="456"/>
      <c r="AX43" s="456"/>
      <c r="AY43" s="456"/>
      <c r="AZ43" s="456"/>
      <c r="BA43" s="456"/>
      <c r="BB43" s="456"/>
      <c r="BC43" s="456"/>
      <c r="BD43" s="456"/>
      <c r="BE43" s="456"/>
      <c r="BF43" s="456"/>
      <c r="BG43" s="456"/>
      <c r="BH43" s="456"/>
      <c r="BI43" s="456"/>
      <c r="BJ43" s="456"/>
      <c r="BK43" s="456"/>
      <c r="BL43" s="456"/>
      <c r="BM43" s="456"/>
      <c r="BN43" s="456"/>
      <c r="BO43" s="456"/>
      <c r="BP43" s="456"/>
      <c r="BQ43" s="456"/>
      <c r="BR43" s="456"/>
      <c r="BS43" s="456"/>
      <c r="BT43" s="456"/>
      <c r="BU43" s="456"/>
      <c r="BV43" s="454"/>
      <c r="BW43" s="455"/>
      <c r="BX43" s="347"/>
      <c r="BY43" s="455"/>
      <c r="BZ43" s="409"/>
      <c r="CA43" s="455"/>
      <c r="CB43" s="455"/>
      <c r="CC43" s="456"/>
      <c r="CD43" s="456"/>
      <c r="CE43" s="456"/>
      <c r="CF43" s="456"/>
      <c r="CG43" s="456"/>
      <c r="CH43" s="456"/>
      <c r="CI43" s="495"/>
      <c r="CJ43" s="495"/>
      <c r="CK43" s="338"/>
      <c r="CL43" s="338"/>
      <c r="CM43" s="449"/>
      <c r="CN43" s="456"/>
    </row>
    <row r="44" spans="1:96" ht="23.25" customHeight="1" x14ac:dyDescent="0.25">
      <c r="AH44" s="369"/>
      <c r="AI44" s="369"/>
      <c r="AJ44" s="369"/>
      <c r="AK44" s="369"/>
      <c r="AL44" s="360"/>
      <c r="AM44" s="366"/>
      <c r="AN44" s="367"/>
      <c r="AO44" s="367"/>
      <c r="AP44" s="456"/>
      <c r="AQ44" s="456"/>
      <c r="AR44" s="456"/>
      <c r="AS44" s="456"/>
      <c r="AT44" s="456"/>
      <c r="AU44" s="456"/>
      <c r="AV44" s="456"/>
      <c r="AW44" s="456"/>
      <c r="AX44" s="456"/>
      <c r="AY44" s="456"/>
      <c r="AZ44" s="456"/>
      <c r="BA44" s="456"/>
      <c r="BB44" s="456"/>
      <c r="BC44" s="456"/>
      <c r="BD44" s="456"/>
      <c r="BE44" s="456"/>
      <c r="BF44" s="456"/>
      <c r="BG44" s="456"/>
      <c r="BH44" s="456"/>
      <c r="BI44" s="456"/>
      <c r="BJ44" s="456"/>
      <c r="BK44" s="456"/>
      <c r="BL44" s="456"/>
      <c r="BM44" s="456"/>
      <c r="BN44" s="456"/>
      <c r="BO44" s="456"/>
      <c r="BP44" s="456"/>
      <c r="BQ44" s="456"/>
      <c r="BR44" s="456"/>
      <c r="BS44" s="456"/>
      <c r="BT44" s="456"/>
      <c r="BU44" s="456"/>
      <c r="BV44" s="454"/>
      <c r="BW44" s="455"/>
      <c r="BX44" s="347"/>
      <c r="BY44" s="455"/>
      <c r="BZ44" s="409"/>
      <c r="CA44" s="455"/>
      <c r="CB44" s="455"/>
      <c r="CC44" s="456"/>
      <c r="CD44" s="456"/>
      <c r="CE44" s="456"/>
      <c r="CF44" s="456"/>
      <c r="CG44" s="456"/>
      <c r="CH44" s="456"/>
      <c r="CI44" s="495"/>
      <c r="CJ44" s="495"/>
      <c r="CK44" s="338"/>
      <c r="CL44" s="338"/>
      <c r="CM44" s="338"/>
      <c r="CN44" s="456"/>
    </row>
    <row r="45" spans="1:96" ht="23.25" customHeight="1" x14ac:dyDescent="0.25">
      <c r="AH45" s="369"/>
      <c r="AI45" s="369"/>
      <c r="AJ45" s="369"/>
      <c r="AK45" s="369"/>
      <c r="AN45" s="367"/>
      <c r="AO45" s="367"/>
      <c r="AP45" s="491"/>
      <c r="AQ45" s="491"/>
      <c r="AR45" s="491"/>
      <c r="AS45" s="491"/>
      <c r="AT45" s="491"/>
      <c r="AU45" s="491"/>
      <c r="AV45" s="491"/>
      <c r="AW45" s="491"/>
      <c r="AX45" s="491"/>
      <c r="AY45" s="491"/>
      <c r="AZ45" s="491"/>
      <c r="BA45" s="491"/>
      <c r="BB45" s="491"/>
      <c r="BC45" s="491"/>
      <c r="BD45" s="491"/>
      <c r="BE45" s="491"/>
      <c r="BF45" s="491"/>
      <c r="BG45" s="491"/>
      <c r="BH45" s="491"/>
      <c r="BI45" s="491"/>
      <c r="BJ45" s="491"/>
      <c r="BK45" s="491"/>
      <c r="BL45" s="491"/>
      <c r="BM45" s="491"/>
      <c r="BN45" s="491"/>
      <c r="BO45" s="491"/>
      <c r="BP45" s="491"/>
      <c r="BQ45" s="491"/>
      <c r="BR45" s="491"/>
      <c r="BS45" s="491"/>
      <c r="BT45" s="491"/>
      <c r="BU45" s="491"/>
      <c r="BV45" s="454"/>
      <c r="BW45" s="455"/>
      <c r="BX45" s="347"/>
      <c r="BY45" s="455"/>
      <c r="BZ45" s="409"/>
      <c r="CA45" s="455"/>
      <c r="CB45" s="455"/>
      <c r="CC45" s="456"/>
      <c r="CD45" s="456"/>
      <c r="CE45" s="491"/>
      <c r="CF45" s="491"/>
      <c r="CG45" s="491"/>
      <c r="CH45" s="491"/>
      <c r="CI45" s="496"/>
      <c r="CJ45" s="496"/>
      <c r="CK45" s="497"/>
      <c r="CL45" s="497"/>
      <c r="CM45" s="497"/>
      <c r="CN45" s="491"/>
    </row>
    <row r="46" spans="1:96" ht="23.25" customHeight="1" x14ac:dyDescent="0.25">
      <c r="AH46" s="369"/>
      <c r="AI46" s="369"/>
      <c r="AJ46" s="369"/>
      <c r="AK46" s="369"/>
      <c r="AN46" s="367"/>
      <c r="AO46" s="367"/>
      <c r="BV46" s="454"/>
      <c r="BW46" s="455"/>
      <c r="BX46" s="347"/>
      <c r="BY46" s="455"/>
      <c r="BZ46" s="409"/>
      <c r="CA46" s="455"/>
      <c r="CB46" s="455"/>
      <c r="CC46" s="456"/>
      <c r="CD46" s="456"/>
      <c r="CK46" s="498"/>
      <c r="CL46" s="498"/>
      <c r="CM46" s="498"/>
    </row>
    <row r="47" spans="1:96" ht="23.25" customHeight="1" x14ac:dyDescent="0.25">
      <c r="AH47" s="369"/>
      <c r="AI47" s="369"/>
      <c r="AJ47" s="369"/>
      <c r="AK47" s="369"/>
      <c r="AN47" s="367"/>
      <c r="AO47" s="367"/>
      <c r="BV47" s="454"/>
      <c r="BW47" s="455"/>
      <c r="BX47" s="347"/>
      <c r="BY47" s="455"/>
      <c r="BZ47" s="409"/>
      <c r="CA47" s="455"/>
      <c r="CB47" s="455"/>
      <c r="CC47" s="456"/>
      <c r="CD47" s="456"/>
      <c r="CK47" s="498"/>
      <c r="CL47" s="498"/>
      <c r="CM47" s="498"/>
    </row>
    <row r="48" spans="1:96" ht="23.25" customHeight="1" x14ac:dyDescent="0.25">
      <c r="AH48" s="369"/>
      <c r="AI48" s="369"/>
      <c r="AJ48" s="369"/>
      <c r="AK48" s="369"/>
      <c r="AN48" s="367"/>
      <c r="AO48" s="367"/>
      <c r="BV48" s="454"/>
      <c r="BW48" s="455"/>
      <c r="BX48" s="347"/>
      <c r="BY48" s="455"/>
      <c r="BZ48" s="409"/>
      <c r="CA48" s="455"/>
      <c r="CB48" s="455"/>
      <c r="CC48" s="456"/>
      <c r="CD48" s="456"/>
      <c r="CK48" s="498"/>
      <c r="CL48" s="498"/>
      <c r="CM48" s="498"/>
    </row>
    <row r="49" spans="34:91" ht="23.25" customHeight="1" x14ac:dyDescent="0.25">
      <c r="AH49" s="369"/>
      <c r="AI49" s="369"/>
      <c r="AJ49" s="369"/>
      <c r="AK49" s="369"/>
      <c r="AN49" s="367"/>
      <c r="AO49" s="367"/>
      <c r="BV49" s="454"/>
      <c r="BW49" s="455"/>
      <c r="BX49" s="347"/>
      <c r="BY49" s="455"/>
      <c r="BZ49" s="409"/>
      <c r="CA49" s="455"/>
      <c r="CB49" s="455"/>
      <c r="CC49" s="456"/>
      <c r="CD49" s="456"/>
      <c r="CK49" s="498"/>
      <c r="CL49" s="498"/>
      <c r="CM49" s="498"/>
    </row>
    <row r="50" spans="34:91" ht="23.25" customHeight="1" x14ac:dyDescent="0.25">
      <c r="AH50" s="369"/>
      <c r="AI50" s="369"/>
      <c r="AJ50" s="369"/>
      <c r="AK50" s="369"/>
      <c r="AN50" s="367"/>
      <c r="AO50" s="367"/>
      <c r="BV50" s="454"/>
      <c r="BW50" s="455"/>
      <c r="BX50" s="347"/>
      <c r="BY50" s="455"/>
      <c r="BZ50" s="409"/>
      <c r="CA50" s="455"/>
      <c r="CB50" s="455"/>
      <c r="CC50" s="456"/>
      <c r="CD50" s="456"/>
      <c r="CK50" s="498"/>
      <c r="CL50" s="498"/>
      <c r="CM50" s="498"/>
    </row>
    <row r="51" spans="34:91" ht="23.25" customHeight="1" x14ac:dyDescent="0.25">
      <c r="AH51" s="369"/>
      <c r="AI51" s="369"/>
      <c r="AJ51" s="369"/>
      <c r="AK51" s="369"/>
      <c r="AN51" s="367"/>
      <c r="AO51" s="367"/>
      <c r="BV51" s="454"/>
      <c r="BW51" s="455"/>
      <c r="BX51" s="347"/>
      <c r="BY51" s="455"/>
      <c r="BZ51" s="409"/>
      <c r="CA51" s="455"/>
      <c r="CB51" s="455"/>
      <c r="CC51" s="456"/>
      <c r="CD51" s="456"/>
      <c r="CK51" s="498"/>
      <c r="CL51" s="498"/>
      <c r="CM51" s="498"/>
    </row>
    <row r="52" spans="34:91" ht="23.25" customHeight="1" x14ac:dyDescent="0.25">
      <c r="AH52" s="369"/>
      <c r="AI52" s="369"/>
      <c r="AJ52" s="369"/>
      <c r="AK52" s="369"/>
      <c r="AN52" s="367"/>
      <c r="AO52" s="367"/>
      <c r="BV52" s="454"/>
      <c r="BW52" s="455"/>
      <c r="BX52" s="347"/>
      <c r="BY52" s="455"/>
      <c r="BZ52" s="409"/>
      <c r="CA52" s="455"/>
      <c r="CB52" s="455"/>
      <c r="CC52" s="456"/>
      <c r="CD52" s="456"/>
      <c r="CK52" s="498"/>
      <c r="CL52" s="498"/>
      <c r="CM52" s="498"/>
    </row>
    <row r="53" spans="34:91" ht="23.25" customHeight="1" x14ac:dyDescent="0.25">
      <c r="AH53" s="369"/>
      <c r="AI53" s="369"/>
      <c r="AJ53" s="369"/>
      <c r="AK53" s="369"/>
      <c r="AN53" s="367"/>
      <c r="AO53" s="367"/>
      <c r="BV53" s="454"/>
      <c r="BW53" s="455"/>
      <c r="BX53" s="347"/>
      <c r="BY53" s="455"/>
      <c r="BZ53" s="409"/>
      <c r="CA53" s="455"/>
      <c r="CB53" s="455"/>
      <c r="CC53" s="456"/>
      <c r="CD53" s="456"/>
      <c r="CK53" s="498"/>
      <c r="CL53" s="498"/>
      <c r="CM53" s="498"/>
    </row>
    <row r="54" spans="34:91" ht="23.25" customHeight="1" x14ac:dyDescent="0.25">
      <c r="AH54" s="369"/>
      <c r="AI54" s="369"/>
      <c r="AJ54" s="369"/>
      <c r="AK54" s="369"/>
      <c r="AN54" s="367"/>
      <c r="AO54" s="367"/>
      <c r="BV54" s="454"/>
      <c r="BW54" s="455"/>
      <c r="BX54" s="347"/>
      <c r="BY54" s="455"/>
      <c r="BZ54" s="409"/>
      <c r="CA54" s="455"/>
      <c r="CB54" s="455"/>
      <c r="CC54" s="456"/>
      <c r="CD54" s="456"/>
      <c r="CK54" s="498"/>
      <c r="CL54" s="498"/>
      <c r="CM54" s="498"/>
    </row>
    <row r="55" spans="34:91" ht="23.25" customHeight="1" x14ac:dyDescent="0.25">
      <c r="AH55" s="369"/>
      <c r="AI55" s="369"/>
      <c r="AJ55" s="369"/>
      <c r="AK55" s="369"/>
      <c r="AN55" s="367"/>
      <c r="AO55" s="367"/>
      <c r="BV55" s="454"/>
      <c r="BW55" s="455"/>
      <c r="BX55" s="347"/>
      <c r="BY55" s="455"/>
      <c r="BZ55" s="409"/>
      <c r="CA55" s="455"/>
      <c r="CB55" s="455"/>
      <c r="CC55" s="456"/>
      <c r="CD55" s="456"/>
      <c r="CK55" s="498"/>
      <c r="CL55" s="498"/>
      <c r="CM55" s="498"/>
    </row>
    <row r="56" spans="34:91" ht="23.25" customHeight="1" x14ac:dyDescent="0.25">
      <c r="AH56" s="369"/>
      <c r="AI56" s="369"/>
      <c r="AJ56" s="369"/>
      <c r="AK56" s="369"/>
      <c r="AN56" s="367"/>
      <c r="AO56" s="367"/>
      <c r="BV56" s="454"/>
      <c r="BW56" s="455"/>
      <c r="BX56" s="347"/>
      <c r="BY56" s="455"/>
      <c r="BZ56" s="409"/>
      <c r="CA56" s="455"/>
      <c r="CB56" s="455"/>
      <c r="CC56" s="456"/>
      <c r="CD56" s="456"/>
      <c r="CK56" s="498"/>
      <c r="CL56" s="498"/>
      <c r="CM56" s="498"/>
    </row>
    <row r="57" spans="34:91" ht="23.25" customHeight="1" x14ac:dyDescent="0.25">
      <c r="AH57" s="369"/>
      <c r="AI57" s="369"/>
      <c r="AJ57" s="369"/>
      <c r="AK57" s="369"/>
      <c r="AN57" s="367"/>
      <c r="AO57" s="367"/>
      <c r="BV57" s="454"/>
      <c r="BW57" s="455"/>
      <c r="BX57" s="347"/>
      <c r="BY57" s="455"/>
      <c r="BZ57" s="409"/>
      <c r="CA57" s="455"/>
      <c r="CB57" s="455"/>
      <c r="CC57" s="456"/>
      <c r="CD57" s="456"/>
      <c r="CK57" s="498"/>
      <c r="CL57" s="498"/>
      <c r="CM57" s="498"/>
    </row>
    <row r="58" spans="34:91" ht="23.25" customHeight="1" x14ac:dyDescent="0.25">
      <c r="AH58" s="369"/>
      <c r="AI58" s="369"/>
      <c r="AJ58" s="369"/>
      <c r="AK58" s="369"/>
      <c r="AN58" s="367"/>
      <c r="AO58" s="367"/>
      <c r="BV58" s="454"/>
      <c r="BW58" s="455"/>
      <c r="BX58" s="347"/>
      <c r="BY58" s="455"/>
      <c r="BZ58" s="409"/>
      <c r="CA58" s="455"/>
      <c r="CB58" s="455"/>
      <c r="CC58" s="456"/>
      <c r="CD58" s="456"/>
      <c r="CK58" s="498"/>
      <c r="CL58" s="498"/>
      <c r="CM58" s="498"/>
    </row>
    <row r="59" spans="34:91" ht="23.25" customHeight="1" x14ac:dyDescent="0.25">
      <c r="AH59" s="369"/>
      <c r="AI59" s="369"/>
      <c r="AJ59" s="369"/>
      <c r="AK59" s="369"/>
      <c r="AN59" s="367"/>
      <c r="AO59" s="367"/>
      <c r="BV59" s="454"/>
      <c r="BW59" s="455"/>
      <c r="BX59" s="347"/>
      <c r="BY59" s="455"/>
      <c r="BZ59" s="409"/>
      <c r="CA59" s="455"/>
      <c r="CB59" s="455"/>
      <c r="CC59" s="456"/>
      <c r="CD59" s="456"/>
      <c r="CK59" s="498"/>
      <c r="CL59" s="498"/>
      <c r="CM59" s="498"/>
    </row>
    <row r="60" spans="34:91" ht="23.25" customHeight="1" x14ac:dyDescent="0.25">
      <c r="AH60" s="369"/>
      <c r="AI60" s="369"/>
      <c r="AJ60" s="369"/>
      <c r="AK60" s="369"/>
      <c r="AN60" s="367"/>
      <c r="AO60" s="367"/>
      <c r="BV60" s="454"/>
      <c r="BW60" s="455"/>
      <c r="BX60" s="347"/>
      <c r="BY60" s="455"/>
      <c r="BZ60" s="409"/>
      <c r="CA60" s="455"/>
      <c r="CB60" s="455"/>
      <c r="CC60" s="456"/>
      <c r="CD60" s="456"/>
    </row>
    <row r="61" spans="34:91" ht="23.25" customHeight="1" x14ac:dyDescent="0.25">
      <c r="AH61" s="369"/>
      <c r="AI61" s="369"/>
      <c r="AJ61" s="369"/>
      <c r="AK61" s="369"/>
      <c r="AN61" s="367"/>
      <c r="AO61" s="367"/>
      <c r="BV61" s="454"/>
      <c r="BW61" s="455"/>
      <c r="BX61" s="347"/>
      <c r="BY61" s="455"/>
      <c r="BZ61" s="409"/>
      <c r="CA61" s="455"/>
      <c r="CB61" s="455"/>
      <c r="CC61" s="456"/>
      <c r="CD61" s="456"/>
    </row>
    <row r="62" spans="34:91" ht="23.25" customHeight="1" x14ac:dyDescent="0.25">
      <c r="AH62" s="369"/>
      <c r="AI62" s="369"/>
      <c r="AJ62" s="369"/>
      <c r="AK62" s="369"/>
      <c r="AN62" s="367"/>
      <c r="AO62" s="367"/>
      <c r="BV62" s="454"/>
      <c r="BW62" s="455"/>
      <c r="BX62" s="347"/>
      <c r="BY62" s="455"/>
      <c r="BZ62" s="409"/>
      <c r="CA62" s="455"/>
      <c r="CB62" s="455"/>
      <c r="CC62" s="456"/>
      <c r="CD62" s="456"/>
    </row>
    <row r="63" spans="34:91" ht="23.25" customHeight="1" x14ac:dyDescent="0.25">
      <c r="AH63" s="369"/>
      <c r="AI63" s="369"/>
      <c r="AJ63" s="369"/>
      <c r="AK63" s="369"/>
      <c r="AN63" s="367"/>
      <c r="AO63" s="367"/>
      <c r="BV63" s="454"/>
      <c r="BW63" s="455"/>
      <c r="BX63" s="347"/>
      <c r="BY63" s="455"/>
      <c r="BZ63" s="409"/>
      <c r="CA63" s="455"/>
      <c r="CB63" s="455"/>
      <c r="CC63" s="456"/>
      <c r="CD63" s="456"/>
    </row>
    <row r="64" spans="34:91" ht="23.25" customHeight="1" x14ac:dyDescent="0.25">
      <c r="AH64" s="369"/>
      <c r="AI64" s="369"/>
      <c r="AJ64" s="369"/>
      <c r="AK64" s="369"/>
      <c r="AN64" s="367"/>
      <c r="AO64" s="367"/>
      <c r="BV64" s="454"/>
      <c r="BW64" s="455"/>
      <c r="BX64" s="347"/>
      <c r="BY64" s="455"/>
      <c r="BZ64" s="409"/>
      <c r="CA64" s="455"/>
      <c r="CB64" s="455"/>
      <c r="CC64" s="456"/>
      <c r="CD64" s="456"/>
    </row>
    <row r="65" spans="34:82" ht="23.25" customHeight="1" x14ac:dyDescent="0.25">
      <c r="AH65" s="369"/>
      <c r="AI65" s="369"/>
      <c r="AJ65" s="369"/>
      <c r="AK65" s="369"/>
      <c r="AN65" s="367"/>
      <c r="AO65" s="367"/>
      <c r="BV65" s="454"/>
      <c r="BW65" s="455"/>
      <c r="BX65" s="347"/>
      <c r="BY65" s="455"/>
      <c r="BZ65" s="409"/>
      <c r="CA65" s="455"/>
      <c r="CB65" s="455"/>
      <c r="CC65" s="456"/>
      <c r="CD65" s="456"/>
    </row>
    <row r="66" spans="34:82" ht="23.25" customHeight="1" x14ac:dyDescent="0.25">
      <c r="AH66" s="369"/>
      <c r="AI66" s="369"/>
      <c r="AJ66" s="369"/>
      <c r="AK66" s="369"/>
      <c r="AN66" s="367"/>
      <c r="AO66" s="367"/>
      <c r="BV66" s="454"/>
      <c r="BW66" s="455"/>
      <c r="BX66" s="347"/>
      <c r="BY66" s="455"/>
      <c r="BZ66" s="409"/>
      <c r="CA66" s="455"/>
      <c r="CB66" s="455"/>
      <c r="CC66" s="456"/>
      <c r="CD66" s="456"/>
    </row>
    <row r="67" spans="34:82" ht="23.25" customHeight="1" x14ac:dyDescent="0.25">
      <c r="AH67" s="369"/>
      <c r="AI67" s="369"/>
      <c r="AJ67" s="369"/>
      <c r="AK67" s="369"/>
      <c r="AN67" s="367"/>
      <c r="AO67" s="367"/>
      <c r="BV67" s="454"/>
      <c r="BW67" s="455"/>
      <c r="BX67" s="347"/>
      <c r="BY67" s="455"/>
      <c r="BZ67" s="409"/>
      <c r="CA67" s="455"/>
      <c r="CB67" s="455"/>
      <c r="CC67" s="456"/>
      <c r="CD67" s="456"/>
    </row>
    <row r="68" spans="34:82" ht="23.25" customHeight="1" x14ac:dyDescent="0.25">
      <c r="AH68" s="365"/>
      <c r="AI68" s="365"/>
      <c r="AJ68" s="365"/>
      <c r="AK68" s="365"/>
      <c r="AN68" s="367"/>
      <c r="AO68" s="367"/>
      <c r="BV68" s="454"/>
      <c r="BW68" s="455"/>
      <c r="BX68" s="347"/>
      <c r="BY68" s="455"/>
      <c r="BZ68" s="409"/>
      <c r="CA68" s="455"/>
      <c r="CB68" s="455"/>
      <c r="CC68" s="456"/>
      <c r="CD68" s="456"/>
    </row>
    <row r="69" spans="34:82" ht="23.25" customHeight="1" x14ac:dyDescent="0.25">
      <c r="AH69" s="365"/>
      <c r="AI69" s="365"/>
      <c r="AJ69" s="365"/>
      <c r="AK69" s="365"/>
      <c r="AN69" s="367"/>
      <c r="AO69" s="367"/>
      <c r="BV69" s="454"/>
      <c r="BW69" s="455"/>
      <c r="BX69" s="347"/>
      <c r="BY69" s="455"/>
      <c r="BZ69" s="409"/>
      <c r="CA69" s="455"/>
      <c r="CB69" s="455"/>
      <c r="CC69" s="456"/>
      <c r="CD69" s="456"/>
    </row>
    <row r="70" spans="34:82" ht="23.25" customHeight="1" x14ac:dyDescent="0.25">
      <c r="AH70" s="365"/>
      <c r="AI70" s="365"/>
      <c r="AJ70" s="365"/>
      <c r="AK70" s="365"/>
      <c r="AN70" s="367"/>
      <c r="AO70" s="367"/>
      <c r="BV70" s="454"/>
      <c r="BW70" s="455"/>
      <c r="BX70" s="347"/>
      <c r="BY70" s="455"/>
      <c r="BZ70" s="409"/>
      <c r="CA70" s="455"/>
      <c r="CB70" s="455"/>
      <c r="CC70" s="456"/>
      <c r="CD70" s="456"/>
    </row>
    <row r="71" spans="34:82" ht="23.25" customHeight="1" x14ac:dyDescent="0.25">
      <c r="AH71" s="365"/>
      <c r="AI71" s="365"/>
      <c r="AJ71" s="365"/>
      <c r="AK71" s="365"/>
      <c r="AN71" s="367"/>
      <c r="AO71" s="367"/>
    </row>
    <row r="72" spans="34:82" ht="23.25" customHeight="1" x14ac:dyDescent="0.25">
      <c r="AH72" s="365"/>
      <c r="AI72" s="365"/>
      <c r="AJ72" s="365"/>
      <c r="AK72" s="365"/>
      <c r="AN72" s="367"/>
      <c r="AO72" s="367"/>
    </row>
    <row r="73" spans="34:82" ht="23.25" customHeight="1" x14ac:dyDescent="0.25">
      <c r="AH73" s="365"/>
      <c r="AI73" s="365"/>
      <c r="AJ73" s="365"/>
      <c r="AK73" s="365"/>
      <c r="AN73" s="367"/>
      <c r="AO73" s="367"/>
    </row>
    <row r="74" spans="34:82" ht="23.25" customHeight="1" x14ac:dyDescent="0.25">
      <c r="AH74" s="365"/>
      <c r="AI74" s="365"/>
      <c r="AJ74" s="365"/>
      <c r="AK74" s="365"/>
      <c r="AN74" s="367"/>
      <c r="AO74" s="367"/>
    </row>
    <row r="75" spans="34:82" ht="23.25" customHeight="1" x14ac:dyDescent="0.25">
      <c r="AH75" s="365"/>
      <c r="AI75" s="365"/>
      <c r="AJ75" s="365"/>
      <c r="AK75" s="365"/>
    </row>
    <row r="76" spans="34:82" ht="23.25" customHeight="1" x14ac:dyDescent="0.25">
      <c r="AH76" s="365"/>
      <c r="AI76" s="365"/>
      <c r="AJ76" s="365"/>
      <c r="AK76" s="365"/>
    </row>
    <row r="77" spans="34:82" ht="23.25" customHeight="1" x14ac:dyDescent="0.25">
      <c r="AH77" s="365"/>
      <c r="AI77" s="365"/>
      <c r="AJ77" s="365"/>
      <c r="AK77" s="365"/>
    </row>
    <row r="78" spans="34:82" ht="23.25" customHeight="1" x14ac:dyDescent="0.25">
      <c r="AH78" s="365"/>
      <c r="AI78" s="365"/>
      <c r="AJ78" s="365"/>
      <c r="AK78" s="365"/>
    </row>
  </sheetData>
  <sheetProtection formatCells="0" formatColumns="0" formatRows="0" insertRows="0" deleteRows="0" selectLockedCells="1" sort="0" autoFilter="0"/>
  <protectedRanges>
    <protectedRange sqref="AL7:AN7" name="Rango1"/>
    <protectedRange sqref="V9:V14 AI15:AK15 AH9:AK14 T9:T14 AH1:AH7 AK1:AK5 AI1:AJ2 AM9:AN14 M9:M14 AI7:AK7 AL38:AL39 AH38:AK1048576 AH30:AL35" name="Rango1_2"/>
    <protectedRange sqref="Q16:V29" name="Rango1_2_1"/>
    <protectedRange sqref="AS3" name="Rango1_1"/>
  </protectedRanges>
  <mergeCells count="151">
    <mergeCell ref="BN4:BN5"/>
    <mergeCell ref="BO3:BO5"/>
    <mergeCell ref="CB7:CB14"/>
    <mergeCell ref="BQ7:BQ14"/>
    <mergeCell ref="AT7:AT14"/>
    <mergeCell ref="AX7:AX14"/>
    <mergeCell ref="CC16:CF16"/>
    <mergeCell ref="AP3:AP5"/>
    <mergeCell ref="BC7:BC14"/>
    <mergeCell ref="BD7:BD14"/>
    <mergeCell ref="BE7:BE14"/>
    <mergeCell ref="BY7:BY14"/>
    <mergeCell ref="CD7:CD14"/>
    <mergeCell ref="BJ4:BJ5"/>
    <mergeCell ref="BP4:BP5"/>
    <mergeCell ref="BR4:BR5"/>
    <mergeCell ref="BS3:BS5"/>
    <mergeCell ref="BK3:BK5"/>
    <mergeCell ref="BH7:BH14"/>
    <mergeCell ref="BR7:BR14"/>
    <mergeCell ref="BQ3:BQ5"/>
    <mergeCell ref="BA4:BA5"/>
    <mergeCell ref="BB3:BB5"/>
    <mergeCell ref="BM7:BM14"/>
    <mergeCell ref="CG16:CJ16"/>
    <mergeCell ref="BZ7:BZ14"/>
    <mergeCell ref="CA7:CA14"/>
    <mergeCell ref="BU7:BU14"/>
    <mergeCell ref="BV7:BV14"/>
    <mergeCell ref="BT7:BT14"/>
    <mergeCell ref="BS7:BS14"/>
    <mergeCell ref="AW16:AX16"/>
    <mergeCell ref="AY16:AZ16"/>
    <mergeCell ref="BX7:BX14"/>
    <mergeCell ref="AW7:AW14"/>
    <mergeCell ref="BN7:BN14"/>
    <mergeCell ref="BO7:BO14"/>
    <mergeCell ref="BP7:BP14"/>
    <mergeCell ref="AV7:AV14"/>
    <mergeCell ref="AZ7:AZ14"/>
    <mergeCell ref="BK7:BK14"/>
    <mergeCell ref="BL7:BL14"/>
    <mergeCell ref="AV4:AV5"/>
    <mergeCell ref="AW3:AW5"/>
    <mergeCell ref="AX4:AX5"/>
    <mergeCell ref="BM3:BM5"/>
    <mergeCell ref="BF7:BF14"/>
    <mergeCell ref="BG7:BG14"/>
    <mergeCell ref="BI7:BI14"/>
    <mergeCell ref="AY7:AY14"/>
    <mergeCell ref="BJ7:BJ14"/>
    <mergeCell ref="BA7:BA14"/>
    <mergeCell ref="BB7:BB14"/>
    <mergeCell ref="B1:F6"/>
    <mergeCell ref="G1:X2"/>
    <mergeCell ref="G3:X4"/>
    <mergeCell ref="U9:U13"/>
    <mergeCell ref="W9:W13"/>
    <mergeCell ref="X9:X14"/>
    <mergeCell ref="G11:G13"/>
    <mergeCell ref="H11:H14"/>
    <mergeCell ref="N9:N14"/>
    <mergeCell ref="O9:O14"/>
    <mergeCell ref="Q9:Q14"/>
    <mergeCell ref="J9:J14"/>
    <mergeCell ref="V9:V14"/>
    <mergeCell ref="L9:L13"/>
    <mergeCell ref="M9:M14"/>
    <mergeCell ref="R9:R14"/>
    <mergeCell ref="S9:S14"/>
    <mergeCell ref="T9:T14"/>
    <mergeCell ref="D9:D14"/>
    <mergeCell ref="E9:F14"/>
    <mergeCell ref="G9:H10"/>
    <mergeCell ref="I9:I14"/>
    <mergeCell ref="P5:R5"/>
    <mergeCell ref="S5:U5"/>
    <mergeCell ref="CK7:CK14"/>
    <mergeCell ref="CL7:CL14"/>
    <mergeCell ref="CF7:CF14"/>
    <mergeCell ref="CJ7:CJ14"/>
    <mergeCell ref="CK16:CM16"/>
    <mergeCell ref="BL4:BL5"/>
    <mergeCell ref="AH9:AH14"/>
    <mergeCell ref="AI9:AI14"/>
    <mergeCell ref="AJ9:AJ14"/>
    <mergeCell ref="AK9:AK14"/>
    <mergeCell ref="AI3:AI5"/>
    <mergeCell ref="AJ4:AJ5"/>
    <mergeCell ref="BD3:BD5"/>
    <mergeCell ref="BE3:BE5"/>
    <mergeCell ref="BF3:BF5"/>
    <mergeCell ref="BG3:BG5"/>
    <mergeCell ref="BI3:BI5"/>
    <mergeCell ref="AY3:AZ5"/>
    <mergeCell ref="BS16:BU16"/>
    <mergeCell ref="BV16:BX16"/>
    <mergeCell ref="BW7:BW14"/>
    <mergeCell ref="BY16:CB16"/>
    <mergeCell ref="AQ16:AV16"/>
    <mergeCell ref="BT3:BT5"/>
    <mergeCell ref="CN7:CN14"/>
    <mergeCell ref="T31:X32"/>
    <mergeCell ref="Z10:AD10"/>
    <mergeCell ref="C15:X15"/>
    <mergeCell ref="Z5:AD5"/>
    <mergeCell ref="Z6:AD6"/>
    <mergeCell ref="Z11:AD11"/>
    <mergeCell ref="Z12:AD12"/>
    <mergeCell ref="Z13:AD13"/>
    <mergeCell ref="Z14:AD14"/>
    <mergeCell ref="E8:F8"/>
    <mergeCell ref="K9:K14"/>
    <mergeCell ref="C16:X16"/>
    <mergeCell ref="C21:X21"/>
    <mergeCell ref="B31:O32"/>
    <mergeCell ref="B9:B14"/>
    <mergeCell ref="C9:C14"/>
    <mergeCell ref="CM7:CM14"/>
    <mergeCell ref="CE7:CE14"/>
    <mergeCell ref="CG7:CG14"/>
    <mergeCell ref="CH7:CH14"/>
    <mergeCell ref="CI7:CI14"/>
    <mergeCell ref="CC7:CC14"/>
    <mergeCell ref="G5:O5"/>
    <mergeCell ref="V5:X5"/>
    <mergeCell ref="G6:O6"/>
    <mergeCell ref="P6:R6"/>
    <mergeCell ref="S6:U6"/>
    <mergeCell ref="V6:X6"/>
    <mergeCell ref="AL3:AL5"/>
    <mergeCell ref="Z4:AD4"/>
    <mergeCell ref="AR7:AR14"/>
    <mergeCell ref="AQ4:AQ5"/>
    <mergeCell ref="AR3:AR5"/>
    <mergeCell ref="Z9:AD9"/>
    <mergeCell ref="AN3:AN5"/>
    <mergeCell ref="AO4:AO5"/>
    <mergeCell ref="AS20:AU20"/>
    <mergeCell ref="AS19:AU19"/>
    <mergeCell ref="AS18:AU18"/>
    <mergeCell ref="AS17:AU17"/>
    <mergeCell ref="AM4:AM5"/>
    <mergeCell ref="AL9:AL13"/>
    <mergeCell ref="AM9:AM14"/>
    <mergeCell ref="AN9:AN14"/>
    <mergeCell ref="AS7:AS14"/>
    <mergeCell ref="AO7:AO14"/>
    <mergeCell ref="AP7:AP14"/>
    <mergeCell ref="AQ7:AQ14"/>
    <mergeCell ref="AU7:AU14"/>
  </mergeCells>
  <phoneticPr fontId="20" type="noConversion"/>
  <conditionalFormatting sqref="J17">
    <cfRule type="cellIs" dxfId="6" priority="78" stopIfTrue="1" operator="equal">
      <formula>""</formula>
    </cfRule>
  </conditionalFormatting>
  <conditionalFormatting sqref="J18:J20">
    <cfRule type="cellIs" dxfId="5" priority="77" stopIfTrue="1" operator="equal">
      <formula>""</formula>
    </cfRule>
  </conditionalFormatting>
  <conditionalFormatting sqref="J22:J29">
    <cfRule type="cellIs" dxfId="4" priority="7" stopIfTrue="1" operator="equal">
      <formula>""</formula>
    </cfRule>
  </conditionalFormatting>
  <dataValidations disablePrompts="1" count="1">
    <dataValidation type="list" allowBlank="1" showInputMessage="1" showErrorMessage="1" sqref="H30:I30 F30 O30" xr:uid="{BB324B8D-D6EE-44AB-A68D-FFAF07D42E6E}"/>
  </dataValidations>
  <printOptions horizontalCentered="1"/>
  <pageMargins left="0.78740157480314965" right="0.78740157480314965" top="0.78740157480314965" bottom="0.78740157480314965" header="1.5748031496062993" footer="0.51181102362204722"/>
  <pageSetup scale="36" fitToHeight="0" orientation="landscape" r:id="rId1"/>
  <headerFooter>
    <oddHeader xml:space="preserve">&amp;R&amp;P de &amp;N                             </oddHeader>
    <oddFooter>&amp;L&amp;8SER-GP-EL-SE-MC-002 V.1. 07-11-2022&amp;R&amp;8CÓDIGO SERINGTEC</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macro="[0]!OCC_PE">
                <anchor>
                  <from>
                    <xdr:col>25</xdr:col>
                    <xdr:colOff>220980</xdr:colOff>
                    <xdr:row>0</xdr:row>
                    <xdr:rowOff>190500</xdr:rowOff>
                  </from>
                  <to>
                    <xdr:col>26</xdr:col>
                    <xdr:colOff>449580</xdr:colOff>
                    <xdr:row>2</xdr:row>
                    <xdr:rowOff>259080</xdr:rowOff>
                  </to>
                </anchor>
              </controlPr>
            </control>
          </mc:Choice>
        </mc:AlternateContent>
        <mc:AlternateContent xmlns:mc="http://schemas.openxmlformats.org/markup-compatibility/2006">
          <mc:Choice Requires="x14">
            <control shapeId="140290" r:id="rId5" name="Button 2">
              <controlPr defaultSize="0" print="0" autoFill="0" autoPict="0" macro="[0]!MOS_PE">
                <anchor>
                  <from>
                    <xdr:col>26</xdr:col>
                    <xdr:colOff>640080</xdr:colOff>
                    <xdr:row>0</xdr:row>
                    <xdr:rowOff>190500</xdr:rowOff>
                  </from>
                  <to>
                    <xdr:col>28</xdr:col>
                    <xdr:colOff>0</xdr:colOff>
                    <xdr:row>2</xdr:row>
                    <xdr:rowOff>259080</xdr:rowOff>
                  </to>
                </anchor>
              </controlPr>
            </control>
          </mc:Choice>
        </mc:AlternateContent>
        <mc:AlternateContent xmlns:mc="http://schemas.openxmlformats.org/markup-compatibility/2006">
          <mc:Choice Requires="x14">
            <control shapeId="140291" r:id="rId6" name="Button 3">
              <controlPr defaultSize="0" print="0" autoFill="0" autoPict="0" macro="[0]!Test4">
                <anchor moveWithCells="1" sizeWithCells="1">
                  <from>
                    <xdr:col>92</xdr:col>
                    <xdr:colOff>541020</xdr:colOff>
                    <xdr:row>5</xdr:row>
                    <xdr:rowOff>0</xdr:rowOff>
                  </from>
                  <to>
                    <xdr:col>95</xdr:col>
                    <xdr:colOff>114300</xdr:colOff>
                    <xdr:row>9</xdr:row>
                    <xdr:rowOff>220980</xdr:rowOff>
                  </to>
                </anchor>
              </controlPr>
            </control>
          </mc:Choice>
        </mc:AlternateContent>
        <mc:AlternateContent xmlns:mc="http://schemas.openxmlformats.org/markup-compatibility/2006">
          <mc:Choice Requires="x14">
            <control shapeId="140292" r:id="rId7" name="Button 4">
              <controlPr defaultSize="0" print="0" autoFill="0" autoPict="0" macro="[0]!SUMA_CABLES_aereos">
                <anchor moveWithCells="1" sizeWithCells="1">
                  <from>
                    <xdr:col>92</xdr:col>
                    <xdr:colOff>563880</xdr:colOff>
                    <xdr:row>11</xdr:row>
                    <xdr:rowOff>38100</xdr:rowOff>
                  </from>
                  <to>
                    <xdr:col>95</xdr:col>
                    <xdr:colOff>121920</xdr:colOff>
                    <xdr:row>15</xdr:row>
                    <xdr:rowOff>106680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09CE5-BD6C-43DC-AA52-A4A745F5A58A}">
  <sheetPr codeName="Hoja34">
    <pageSetUpPr fitToPage="1"/>
  </sheetPr>
  <dimension ref="A1:BJ32"/>
  <sheetViews>
    <sheetView view="pageBreakPreview" topLeftCell="A11" zoomScaleNormal="100" zoomScaleSheetLayoutView="100" workbookViewId="0">
      <selection activeCell="Y14" sqref="Y14"/>
    </sheetView>
  </sheetViews>
  <sheetFormatPr baseColWidth="10" defaultColWidth="11.44140625" defaultRowHeight="23.25" customHeight="1" x14ac:dyDescent="0.25"/>
  <cols>
    <col min="1" max="7" width="3.5546875" style="349" customWidth="1"/>
    <col min="8" max="8" width="3" style="349" customWidth="1"/>
    <col min="9" max="9" width="2.44140625" style="349" customWidth="1"/>
    <col min="10" max="12" width="3.88671875" style="349" customWidth="1"/>
    <col min="13" max="13" width="4.44140625" style="349" customWidth="1"/>
    <col min="14" max="18" width="3.5546875" style="349" customWidth="1"/>
    <col min="19" max="19" width="3.5546875" style="337" customWidth="1"/>
    <col min="20" max="20" width="4.44140625" style="349" customWidth="1"/>
    <col min="21" max="27" width="3.5546875" style="349" customWidth="1"/>
    <col min="28" max="28" width="4.44140625" style="349" customWidth="1"/>
    <col min="29" max="34" width="3.5546875" style="349" customWidth="1"/>
    <col min="35" max="35" width="15.5546875" style="349" bestFit="1" customWidth="1"/>
    <col min="36" max="36" width="8.5546875" style="349" customWidth="1"/>
    <col min="37" max="16384" width="11.44140625" style="349"/>
  </cols>
  <sheetData>
    <row r="1" spans="1:62" s="263" customFormat="1" ht="18" customHeight="1" thickTop="1" thickBot="1" x14ac:dyDescent="0.3">
      <c r="A1" s="1430"/>
      <c r="B1" s="1431"/>
      <c r="C1" s="1431"/>
      <c r="D1" s="1431"/>
      <c r="E1" s="1431"/>
      <c r="F1" s="1431"/>
      <c r="G1" s="1431"/>
      <c r="H1" s="1432"/>
      <c r="I1" s="1489" t="e">
        <f>#REF!</f>
        <v>#REF!</v>
      </c>
      <c r="J1" s="1440"/>
      <c r="K1" s="1440"/>
      <c r="L1" s="1440"/>
      <c r="M1" s="1440"/>
      <c r="N1" s="1440"/>
      <c r="O1" s="1440"/>
      <c r="P1" s="1440"/>
      <c r="Q1" s="1440"/>
      <c r="R1" s="1440"/>
      <c r="S1" s="1440"/>
      <c r="T1" s="1440"/>
      <c r="U1" s="1440"/>
      <c r="V1" s="1440"/>
      <c r="W1" s="1440"/>
      <c r="X1" s="1440"/>
      <c r="Y1" s="1440"/>
      <c r="Z1" s="1440"/>
      <c r="AA1" s="1440"/>
      <c r="AB1" s="1440"/>
      <c r="AC1" s="1440"/>
      <c r="AD1" s="1440"/>
      <c r="AE1" s="1440"/>
      <c r="AF1" s="1440"/>
      <c r="AG1" s="1440"/>
      <c r="AH1" s="1441"/>
    </row>
    <row r="2" spans="1:62" s="263" customFormat="1" ht="18" customHeight="1" thickTop="1" thickBot="1" x14ac:dyDescent="0.3">
      <c r="A2" s="1433"/>
      <c r="B2" s="1434"/>
      <c r="C2" s="1434"/>
      <c r="D2" s="1434"/>
      <c r="E2" s="1434"/>
      <c r="F2" s="1434"/>
      <c r="G2" s="1434"/>
      <c r="H2" s="1435"/>
      <c r="I2" s="1439"/>
      <c r="J2" s="1440"/>
      <c r="K2" s="1440"/>
      <c r="L2" s="1440"/>
      <c r="M2" s="1440"/>
      <c r="N2" s="1440"/>
      <c r="O2" s="1440"/>
      <c r="P2" s="1440"/>
      <c r="Q2" s="1440"/>
      <c r="R2" s="1440"/>
      <c r="S2" s="1440"/>
      <c r="T2" s="1440"/>
      <c r="U2" s="1440"/>
      <c r="V2" s="1440"/>
      <c r="W2" s="1440"/>
      <c r="X2" s="1440"/>
      <c r="Y2" s="1440"/>
      <c r="Z2" s="1440"/>
      <c r="AA2" s="1440"/>
      <c r="AB2" s="1440"/>
      <c r="AC2" s="1440"/>
      <c r="AD2" s="1440"/>
      <c r="AE2" s="1440"/>
      <c r="AF2" s="1440"/>
      <c r="AG2" s="1440"/>
      <c r="AH2" s="1441"/>
    </row>
    <row r="3" spans="1:62" s="263" customFormat="1" ht="21.75" customHeight="1" thickTop="1" x14ac:dyDescent="0.25">
      <c r="A3" s="1433"/>
      <c r="B3" s="1434"/>
      <c r="C3" s="1434"/>
      <c r="D3" s="1434"/>
      <c r="E3" s="1434"/>
      <c r="F3" s="1434"/>
      <c r="G3" s="1434"/>
      <c r="H3" s="1435"/>
      <c r="I3" s="1442" t="e">
        <f>#REF!</f>
        <v>#REF!</v>
      </c>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4"/>
    </row>
    <row r="4" spans="1:62" s="263" customFormat="1" ht="21.75" customHeight="1" thickBot="1" x14ac:dyDescent="0.3">
      <c r="A4" s="1433"/>
      <c r="B4" s="1434"/>
      <c r="C4" s="1434"/>
      <c r="D4" s="1434"/>
      <c r="E4" s="1434"/>
      <c r="F4" s="1434"/>
      <c r="G4" s="1434"/>
      <c r="H4" s="1435"/>
      <c r="I4" s="1445"/>
      <c r="J4" s="1446"/>
      <c r="K4" s="1446"/>
      <c r="L4" s="1446"/>
      <c r="M4" s="1446"/>
      <c r="N4" s="1446"/>
      <c r="O4" s="1446"/>
      <c r="P4" s="1446"/>
      <c r="Q4" s="1446"/>
      <c r="R4" s="1446"/>
      <c r="S4" s="1446"/>
      <c r="T4" s="1446"/>
      <c r="U4" s="1446"/>
      <c r="V4" s="1446"/>
      <c r="W4" s="1446"/>
      <c r="X4" s="1446"/>
      <c r="Y4" s="1446"/>
      <c r="Z4" s="1446"/>
      <c r="AA4" s="1446"/>
      <c r="AB4" s="1446"/>
      <c r="AC4" s="1446"/>
      <c r="AD4" s="1446"/>
      <c r="AE4" s="1446"/>
      <c r="AF4" s="1446"/>
      <c r="AG4" s="1446"/>
      <c r="AH4" s="1447"/>
    </row>
    <row r="5" spans="1:62" s="263" customFormat="1" ht="18" customHeight="1" thickTop="1" x14ac:dyDescent="0.25">
      <c r="A5" s="1433"/>
      <c r="B5" s="1434"/>
      <c r="C5" s="1434"/>
      <c r="D5" s="1434"/>
      <c r="E5" s="1434"/>
      <c r="F5" s="1434"/>
      <c r="G5" s="1434"/>
      <c r="H5" s="1435"/>
      <c r="I5" s="1448" t="s">
        <v>2</v>
      </c>
      <c r="J5" s="1448"/>
      <c r="K5" s="1448"/>
      <c r="L5" s="1448"/>
      <c r="M5" s="1448"/>
      <c r="N5" s="1448"/>
      <c r="O5" s="1448"/>
      <c r="P5" s="1448"/>
      <c r="Q5" s="1448"/>
      <c r="R5" s="1448" t="s">
        <v>3</v>
      </c>
      <c r="S5" s="1448"/>
      <c r="T5" s="1448"/>
      <c r="U5" s="1448"/>
      <c r="V5" s="1448"/>
      <c r="W5" s="1430"/>
      <c r="X5" s="1430" t="s">
        <v>4</v>
      </c>
      <c r="Y5" s="1431"/>
      <c r="Z5" s="1431"/>
      <c r="AA5" s="1431"/>
      <c r="AB5" s="1432"/>
      <c r="AC5" s="1432" t="s">
        <v>5</v>
      </c>
      <c r="AD5" s="1449"/>
      <c r="AE5" s="1449"/>
      <c r="AF5" s="1449"/>
      <c r="AG5" s="1449"/>
      <c r="AH5" s="1449"/>
    </row>
    <row r="6" spans="1:62" s="263" customFormat="1" ht="18" customHeight="1" thickBot="1" x14ac:dyDescent="0.3">
      <c r="A6" s="1436"/>
      <c r="B6" s="1437"/>
      <c r="C6" s="1437"/>
      <c r="D6" s="1437"/>
      <c r="E6" s="1437"/>
      <c r="F6" s="1437"/>
      <c r="G6" s="1437"/>
      <c r="H6" s="1438"/>
      <c r="I6" s="1490" t="e">
        <f>#REF!</f>
        <v>#REF!</v>
      </c>
      <c r="J6" s="1450"/>
      <c r="K6" s="1450"/>
      <c r="L6" s="1450"/>
      <c r="M6" s="1450"/>
      <c r="N6" s="1450"/>
      <c r="O6" s="1450"/>
      <c r="P6" s="1450"/>
      <c r="Q6" s="1450"/>
      <c r="R6" s="1450" t="e">
        <f>+#REF!</f>
        <v>#REF!</v>
      </c>
      <c r="S6" s="1450"/>
      <c r="T6" s="1450"/>
      <c r="U6" s="1450"/>
      <c r="V6" s="1450"/>
      <c r="W6" s="1436"/>
      <c r="X6" s="1491" t="e">
        <f>#REF!</f>
        <v>#REF!</v>
      </c>
      <c r="Y6" s="1492"/>
      <c r="Z6" s="1492"/>
      <c r="AA6" s="1492"/>
      <c r="AB6" s="1493"/>
      <c r="AC6" s="1453"/>
      <c r="AD6" s="1450"/>
      <c r="AE6" s="1450"/>
      <c r="AF6" s="1450"/>
      <c r="AG6" s="1450"/>
      <c r="AH6" s="1450"/>
    </row>
    <row r="7" spans="1:62" s="305" customFormat="1" ht="13.8" thickTop="1" x14ac:dyDescent="0.25"/>
    <row r="8" spans="1:62" s="308" customFormat="1" ht="18" customHeight="1" x14ac:dyDescent="0.25">
      <c r="A8" s="1428" t="s">
        <v>1281</v>
      </c>
      <c r="B8" s="1428"/>
      <c r="C8" s="1428"/>
      <c r="D8" s="1428"/>
      <c r="E8" s="1428"/>
      <c r="F8" s="1428"/>
      <c r="G8" s="1428"/>
      <c r="H8" s="1428"/>
      <c r="I8" s="1428"/>
      <c r="J8" s="1428"/>
      <c r="K8" s="1428"/>
      <c r="L8" s="1428"/>
      <c r="M8" s="1428"/>
      <c r="N8" s="1428"/>
      <c r="O8" s="1428"/>
      <c r="P8" s="1428"/>
      <c r="Q8" s="1428"/>
      <c r="R8" s="1428"/>
      <c r="S8" s="1428"/>
      <c r="T8" s="1428"/>
      <c r="U8" s="1428"/>
      <c r="V8" s="1428"/>
      <c r="W8" s="1428"/>
      <c r="X8" s="1428"/>
      <c r="Y8" s="1428"/>
      <c r="Z8" s="1428"/>
      <c r="AA8" s="1428"/>
      <c r="AB8" s="1428"/>
      <c r="AC8" s="1428"/>
      <c r="AD8" s="1428"/>
      <c r="AE8" s="1428"/>
      <c r="AF8" s="1428"/>
      <c r="AG8" s="1428"/>
      <c r="AH8" s="1428"/>
    </row>
    <row r="9" spans="1:62" s="411" customFormat="1" ht="12.75" customHeight="1" x14ac:dyDescent="0.25">
      <c r="A9" s="518"/>
      <c r="B9" s="519"/>
      <c r="C9" s="519"/>
      <c r="D9" s="519"/>
      <c r="E9" s="519"/>
      <c r="F9" s="519"/>
      <c r="G9" s="519"/>
      <c r="H9" s="519"/>
      <c r="I9" s="519"/>
      <c r="J9" s="519"/>
      <c r="K9" s="519"/>
      <c r="L9" s="519"/>
      <c r="M9" s="520"/>
      <c r="N9" s="519"/>
      <c r="O9" s="520"/>
      <c r="P9" s="519"/>
      <c r="Q9" s="519"/>
      <c r="R9" s="519"/>
    </row>
    <row r="10" spans="1:62" s="312" customFormat="1" ht="42" customHeight="1" x14ac:dyDescent="0.25">
      <c r="A10" s="1457" t="s">
        <v>1282</v>
      </c>
      <c r="B10" s="1457"/>
      <c r="C10" s="1457"/>
      <c r="D10" s="1457"/>
      <c r="E10" s="1457"/>
      <c r="F10" s="1457"/>
      <c r="G10" s="1457"/>
      <c r="H10" s="1457"/>
      <c r="I10" s="1457"/>
      <c r="J10" s="1457"/>
      <c r="K10" s="1457"/>
      <c r="L10" s="1457"/>
      <c r="M10" s="1457"/>
      <c r="N10" s="1457"/>
      <c r="O10" s="1457"/>
      <c r="P10" s="1457"/>
      <c r="Q10" s="1457"/>
      <c r="R10" s="1457"/>
      <c r="S10" s="1457"/>
      <c r="T10" s="1457"/>
      <c r="U10" s="1457"/>
      <c r="V10" s="1457"/>
      <c r="W10" s="1457"/>
      <c r="X10" s="1457"/>
      <c r="Y10" s="1457"/>
      <c r="Z10" s="1457"/>
      <c r="AA10" s="1457"/>
      <c r="AB10" s="1457"/>
      <c r="AC10" s="1457"/>
      <c r="AD10" s="1457"/>
      <c r="AE10" s="1457"/>
      <c r="AF10" s="1457"/>
      <c r="AG10" s="1457"/>
      <c r="AH10" s="1457"/>
      <c r="AJ10" s="521"/>
      <c r="AK10" s="522"/>
      <c r="AL10" s="371"/>
      <c r="AM10" s="371"/>
      <c r="AN10" s="335"/>
      <c r="AO10" s="1487"/>
      <c r="AP10" s="1487"/>
      <c r="AQ10" s="1487"/>
      <c r="AR10" s="1487"/>
      <c r="AS10" s="1487"/>
      <c r="AT10" s="1487"/>
      <c r="AU10" s="1487"/>
      <c r="AV10" s="1487"/>
      <c r="AW10" s="1487"/>
      <c r="AX10" s="1487"/>
      <c r="AY10" s="1487"/>
      <c r="AZ10" s="1487"/>
      <c r="BA10" s="1487"/>
      <c r="BB10" s="1487"/>
      <c r="BC10" s="1487"/>
      <c r="BD10" s="1487"/>
      <c r="BE10" s="1487"/>
      <c r="BF10" s="1487"/>
      <c r="BG10" s="1487"/>
      <c r="BH10" s="1487"/>
      <c r="BI10" s="1487"/>
      <c r="BJ10" s="1487"/>
    </row>
    <row r="11" spans="1:62" s="411" customFormat="1" ht="12.75" customHeight="1" x14ac:dyDescent="0.25">
      <c r="A11" s="518"/>
      <c r="B11" s="519"/>
      <c r="C11" s="519"/>
      <c r="D11" s="519"/>
      <c r="E11" s="519"/>
      <c r="F11" s="519"/>
      <c r="G11" s="519"/>
      <c r="H11" s="519"/>
      <c r="I11" s="519"/>
      <c r="J11" s="519"/>
      <c r="K11" s="519"/>
      <c r="L11" s="519"/>
      <c r="M11" s="520"/>
      <c r="N11" s="519"/>
      <c r="O11" s="520"/>
      <c r="P11" s="519"/>
      <c r="Q11" s="519"/>
      <c r="R11" s="519"/>
    </row>
    <row r="12" spans="1:62" s="312" customFormat="1" ht="44.25" customHeight="1" x14ac:dyDescent="0.35">
      <c r="A12" s="1457" t="s">
        <v>1283</v>
      </c>
      <c r="B12" s="1457"/>
      <c r="C12" s="1457"/>
      <c r="D12" s="1457"/>
      <c r="E12" s="1457"/>
      <c r="F12" s="1457"/>
      <c r="G12" s="1457"/>
      <c r="H12" s="1457"/>
      <c r="I12" s="1457"/>
      <c r="J12" s="1457"/>
      <c r="K12" s="1457"/>
      <c r="L12" s="1457"/>
      <c r="M12" s="1457"/>
      <c r="N12" s="1457"/>
      <c r="O12" s="1457"/>
      <c r="P12" s="1457"/>
      <c r="Q12" s="1457"/>
      <c r="R12" s="1457"/>
      <c r="S12" s="1457"/>
      <c r="T12" s="1457"/>
      <c r="U12" s="1457"/>
      <c r="V12" s="1457"/>
      <c r="W12" s="1457"/>
      <c r="X12" s="1457"/>
      <c r="Y12" s="1457"/>
      <c r="Z12" s="1457"/>
      <c r="AA12" s="1457"/>
      <c r="AB12" s="1457"/>
      <c r="AC12" s="1457"/>
      <c r="AD12" s="1457"/>
      <c r="AE12" s="1457"/>
      <c r="AF12" s="1457"/>
      <c r="AG12" s="1457"/>
      <c r="AH12" s="1457"/>
      <c r="AJ12" s="509"/>
      <c r="AK12" s="310"/>
      <c r="AL12" s="510"/>
      <c r="AM12" s="335"/>
      <c r="AN12" s="335"/>
      <c r="AO12" s="1487"/>
      <c r="AP12" s="1487"/>
      <c r="AQ12" s="1487"/>
      <c r="AR12" s="1487"/>
      <c r="AS12" s="1487"/>
      <c r="AT12" s="1487"/>
      <c r="AU12" s="1487"/>
      <c r="AV12" s="1487"/>
      <c r="AW12" s="1487"/>
      <c r="AX12" s="1487"/>
      <c r="AY12" s="1487"/>
      <c r="AZ12" s="1487"/>
      <c r="BA12" s="1487"/>
      <c r="BB12" s="1487"/>
      <c r="BC12" s="1487"/>
      <c r="BD12" s="1487"/>
      <c r="BE12" s="1487"/>
      <c r="BF12" s="1487"/>
      <c r="BG12" s="1487"/>
      <c r="BH12" s="1487"/>
      <c r="BI12" s="1487"/>
      <c r="BJ12" s="1487"/>
    </row>
    <row r="13" spans="1:62" s="411" customFormat="1" ht="12.75" customHeight="1" x14ac:dyDescent="0.25">
      <c r="A13" s="518"/>
      <c r="B13" s="519"/>
      <c r="C13" s="519"/>
      <c r="D13" s="519"/>
      <c r="E13" s="519"/>
      <c r="F13" s="519"/>
      <c r="G13" s="519"/>
      <c r="H13" s="519"/>
      <c r="I13" s="519"/>
      <c r="J13" s="519"/>
      <c r="K13" s="519"/>
      <c r="L13" s="519"/>
      <c r="M13" s="520"/>
      <c r="N13" s="519"/>
      <c r="O13" s="520"/>
      <c r="P13" s="519"/>
      <c r="Q13" s="519"/>
      <c r="R13" s="519"/>
    </row>
    <row r="14" spans="1:62" s="312" customFormat="1" ht="57" customHeight="1" x14ac:dyDescent="0.35">
      <c r="A14" s="1457" t="s">
        <v>1284</v>
      </c>
      <c r="B14" s="1457"/>
      <c r="C14" s="1457"/>
      <c r="D14" s="1457"/>
      <c r="E14" s="1457"/>
      <c r="F14" s="1457"/>
      <c r="G14" s="1457"/>
      <c r="H14" s="1457"/>
      <c r="I14" s="1457"/>
      <c r="J14" s="1457"/>
      <c r="K14" s="1457"/>
      <c r="L14" s="1457"/>
      <c r="M14" s="1457"/>
      <c r="N14" s="1457"/>
      <c r="O14" s="1457"/>
      <c r="P14" s="1457"/>
      <c r="Q14" s="1457"/>
      <c r="R14" s="1457"/>
      <c r="S14" s="1457"/>
      <c r="T14" s="1457"/>
      <c r="U14" s="1457"/>
      <c r="V14" s="1457"/>
      <c r="W14" s="1457"/>
      <c r="X14" s="1457"/>
      <c r="Y14" s="1457"/>
      <c r="Z14" s="1457"/>
      <c r="AA14" s="1457"/>
      <c r="AB14" s="1457"/>
      <c r="AC14" s="1457"/>
      <c r="AD14" s="1457"/>
      <c r="AE14" s="1457"/>
      <c r="AF14" s="1457"/>
      <c r="AG14" s="1457"/>
      <c r="AH14" s="1457"/>
      <c r="AJ14" s="509"/>
      <c r="AK14" s="310"/>
      <c r="AL14" s="510"/>
      <c r="AM14" s="335"/>
      <c r="AN14" s="335"/>
      <c r="AO14" s="1487"/>
      <c r="AP14" s="1487"/>
      <c r="AQ14" s="1487"/>
      <c r="AR14" s="1487"/>
      <c r="AS14" s="1487"/>
      <c r="AT14" s="1487"/>
      <c r="AU14" s="1487"/>
      <c r="AV14" s="1487"/>
      <c r="AW14" s="1487"/>
      <c r="AX14" s="1487"/>
      <c r="AY14" s="1487"/>
      <c r="AZ14" s="1487"/>
      <c r="BA14" s="1487"/>
      <c r="BB14" s="1487"/>
      <c r="BC14" s="1487"/>
      <c r="BD14" s="1487"/>
      <c r="BE14" s="1487"/>
      <c r="BF14" s="1487"/>
      <c r="BG14" s="1487"/>
      <c r="BH14" s="1487"/>
      <c r="BI14" s="1487"/>
      <c r="BJ14" s="1487"/>
    </row>
    <row r="15" spans="1:62" s="411" customFormat="1" ht="12.75" customHeight="1" x14ac:dyDescent="0.25">
      <c r="A15" s="518"/>
      <c r="B15" s="519"/>
      <c r="C15" s="519"/>
      <c r="D15" s="519"/>
      <c r="E15" s="519"/>
      <c r="F15" s="519"/>
      <c r="G15" s="519"/>
      <c r="H15" s="519"/>
      <c r="I15" s="519"/>
      <c r="J15" s="519"/>
      <c r="K15" s="519"/>
      <c r="L15" s="519"/>
      <c r="M15" s="520"/>
      <c r="N15" s="519"/>
      <c r="O15" s="520"/>
      <c r="P15" s="519"/>
      <c r="Q15" s="519"/>
      <c r="R15" s="519"/>
    </row>
    <row r="16" spans="1:62" s="312" customFormat="1" ht="28.5" customHeight="1" x14ac:dyDescent="0.35">
      <c r="A16" s="1457" t="s">
        <v>1285</v>
      </c>
      <c r="B16" s="1457"/>
      <c r="C16" s="1457"/>
      <c r="D16" s="1457"/>
      <c r="E16" s="1457"/>
      <c r="F16" s="1457"/>
      <c r="G16" s="1457"/>
      <c r="H16" s="1457"/>
      <c r="I16" s="1457"/>
      <c r="J16" s="1457"/>
      <c r="K16" s="1457"/>
      <c r="L16" s="1457"/>
      <c r="M16" s="1457"/>
      <c r="N16" s="1457"/>
      <c r="O16" s="1457"/>
      <c r="P16" s="1457"/>
      <c r="Q16" s="1457"/>
      <c r="R16" s="1457"/>
      <c r="S16" s="1457"/>
      <c r="T16" s="1457"/>
      <c r="U16" s="1457"/>
      <c r="V16" s="1457"/>
      <c r="W16" s="1457"/>
      <c r="X16" s="1457"/>
      <c r="Y16" s="1457"/>
      <c r="Z16" s="1457"/>
      <c r="AA16" s="1457"/>
      <c r="AB16" s="1457"/>
      <c r="AC16" s="1457"/>
      <c r="AD16" s="1457"/>
      <c r="AE16" s="1457"/>
      <c r="AF16" s="1457"/>
      <c r="AG16" s="1457"/>
      <c r="AH16" s="1457"/>
      <c r="AJ16" s="509"/>
      <c r="AK16" s="310"/>
      <c r="AL16" s="510"/>
      <c r="AM16" s="335"/>
      <c r="AN16" s="335"/>
      <c r="AO16" s="1487"/>
      <c r="AP16" s="1487"/>
      <c r="AQ16" s="1487"/>
      <c r="AR16" s="1487"/>
      <c r="AS16" s="1487"/>
      <c r="AT16" s="1487"/>
      <c r="AU16" s="1487"/>
      <c r="AV16" s="1487"/>
      <c r="AW16" s="1487"/>
      <c r="AX16" s="1487"/>
      <c r="AY16" s="1487"/>
      <c r="AZ16" s="1487"/>
      <c r="BA16" s="1487"/>
      <c r="BB16" s="1487"/>
      <c r="BC16" s="1487"/>
      <c r="BD16" s="1487"/>
      <c r="BE16" s="1487"/>
      <c r="BF16" s="1487"/>
      <c r="BG16" s="1487"/>
      <c r="BH16" s="1487"/>
      <c r="BI16" s="1487"/>
      <c r="BJ16" s="1487"/>
    </row>
    <row r="17" spans="1:62" s="411" customFormat="1" ht="12.75" customHeight="1" x14ac:dyDescent="0.25">
      <c r="A17" s="523"/>
      <c r="B17" s="520"/>
      <c r="C17" s="520"/>
      <c r="D17" s="520"/>
      <c r="E17" s="520"/>
      <c r="F17" s="520"/>
      <c r="G17" s="520"/>
      <c r="H17" s="520"/>
      <c r="I17" s="520"/>
      <c r="J17" s="520"/>
      <c r="K17" s="520"/>
      <c r="L17" s="520"/>
      <c r="M17" s="520"/>
      <c r="N17" s="520"/>
      <c r="O17" s="520"/>
      <c r="P17" s="520"/>
      <c r="Q17" s="520"/>
      <c r="R17" s="520"/>
    </row>
    <row r="18" spans="1:62" ht="15" customHeight="1" x14ac:dyDescent="0.25">
      <c r="A18" s="512" t="s">
        <v>1286</v>
      </c>
      <c r="B18" s="512"/>
      <c r="C18" s="512"/>
      <c r="D18" s="512"/>
      <c r="E18" s="512"/>
      <c r="F18" s="512"/>
      <c r="G18" s="512"/>
      <c r="H18" s="512"/>
      <c r="I18" s="512"/>
      <c r="J18" s="512"/>
      <c r="K18" s="512"/>
      <c r="L18" s="512"/>
      <c r="M18" s="512"/>
      <c r="N18" s="512"/>
      <c r="O18" s="512"/>
      <c r="P18" s="512"/>
      <c r="Q18" s="512"/>
      <c r="R18" s="512"/>
      <c r="S18" s="512"/>
      <c r="AE18" s="411"/>
      <c r="AF18" s="411"/>
      <c r="AG18" s="411"/>
    </row>
    <row r="19" spans="1:62" ht="12.75" customHeight="1" x14ac:dyDescent="0.25">
      <c r="A19" s="2008" t="s">
        <v>1</v>
      </c>
      <c r="B19" s="2008"/>
      <c r="C19" s="2008"/>
      <c r="D19" s="2008"/>
      <c r="E19" s="2008"/>
      <c r="F19" s="2008"/>
      <c r="G19" s="2008"/>
      <c r="H19" s="2008"/>
      <c r="I19" s="2008"/>
      <c r="J19" s="2009" t="s">
        <v>1287</v>
      </c>
      <c r="K19" s="2010"/>
      <c r="L19" s="2010"/>
      <c r="M19" s="2010"/>
      <c r="N19" s="2010"/>
      <c r="O19" s="2010"/>
      <c r="P19" s="2011"/>
      <c r="Q19" s="2009" t="s">
        <v>1288</v>
      </c>
      <c r="R19" s="2010"/>
      <c r="S19" s="2010"/>
      <c r="T19" s="2010"/>
      <c r="U19" s="2010"/>
      <c r="V19" s="2010"/>
      <c r="W19" s="2010"/>
      <c r="X19" s="2011"/>
      <c r="Y19" s="2009" t="s">
        <v>1289</v>
      </c>
      <c r="Z19" s="2010"/>
      <c r="AA19" s="2010"/>
      <c r="AB19" s="2010"/>
      <c r="AC19" s="2010"/>
      <c r="AD19" s="2010"/>
      <c r="AE19" s="2011"/>
      <c r="AF19" s="2002" t="s">
        <v>1290</v>
      </c>
      <c r="AG19" s="2002"/>
      <c r="AH19" s="2002"/>
    </row>
    <row r="20" spans="1:62" ht="12.75" customHeight="1" x14ac:dyDescent="0.25">
      <c r="A20" s="2008"/>
      <c r="B20" s="2008"/>
      <c r="C20" s="2008"/>
      <c r="D20" s="2008"/>
      <c r="E20" s="2008"/>
      <c r="F20" s="2008"/>
      <c r="G20" s="2008"/>
      <c r="H20" s="2008"/>
      <c r="I20" s="2008"/>
      <c r="J20" s="2012"/>
      <c r="K20" s="2013"/>
      <c r="L20" s="2013"/>
      <c r="M20" s="2013"/>
      <c r="N20" s="2013"/>
      <c r="O20" s="2013"/>
      <c r="P20" s="2014"/>
      <c r="Q20" s="2012"/>
      <c r="R20" s="2013"/>
      <c r="S20" s="2013"/>
      <c r="T20" s="2013"/>
      <c r="U20" s="2013"/>
      <c r="V20" s="2013"/>
      <c r="W20" s="2013"/>
      <c r="X20" s="2014"/>
      <c r="Y20" s="2012"/>
      <c r="Z20" s="2013"/>
      <c r="AA20" s="2013"/>
      <c r="AB20" s="2013"/>
      <c r="AC20" s="2013"/>
      <c r="AD20" s="2013"/>
      <c r="AE20" s="2014"/>
      <c r="AF20" s="2002"/>
      <c r="AG20" s="2002"/>
      <c r="AH20" s="2002"/>
    </row>
    <row r="21" spans="1:62" ht="12.75" customHeight="1" x14ac:dyDescent="0.25">
      <c r="A21" s="2008"/>
      <c r="B21" s="2008"/>
      <c r="C21" s="2008"/>
      <c r="D21" s="2008"/>
      <c r="E21" s="2008"/>
      <c r="F21" s="2008"/>
      <c r="G21" s="2008"/>
      <c r="H21" s="2008"/>
      <c r="I21" s="2008"/>
      <c r="J21" s="2002" t="s">
        <v>1291</v>
      </c>
      <c r="K21" s="2002"/>
      <c r="L21" s="2002"/>
      <c r="M21" s="2002"/>
      <c r="N21" s="2002" t="s">
        <v>586</v>
      </c>
      <c r="O21" s="2002"/>
      <c r="P21" s="2002"/>
      <c r="Q21" s="2002" t="s">
        <v>1291</v>
      </c>
      <c r="R21" s="2002"/>
      <c r="S21" s="2002"/>
      <c r="T21" s="2002"/>
      <c r="U21" s="2002" t="s">
        <v>586</v>
      </c>
      <c r="V21" s="2002"/>
      <c r="W21" s="2002"/>
      <c r="X21" s="2002"/>
      <c r="Y21" s="2002" t="s">
        <v>1291</v>
      </c>
      <c r="Z21" s="2002"/>
      <c r="AA21" s="2002"/>
      <c r="AB21" s="2002"/>
      <c r="AC21" s="2002" t="s">
        <v>586</v>
      </c>
      <c r="AD21" s="2002"/>
      <c r="AE21" s="2002"/>
      <c r="AF21" s="2002"/>
      <c r="AG21" s="2002"/>
      <c r="AH21" s="2002"/>
    </row>
    <row r="22" spans="1:62" s="411" customFormat="1" ht="25.5" customHeight="1" x14ac:dyDescent="0.25">
      <c r="A22" s="2016" t="s">
        <v>1292</v>
      </c>
      <c r="B22" s="2016"/>
      <c r="C22" s="2016"/>
      <c r="D22" s="2016"/>
      <c r="E22" s="2016"/>
      <c r="F22" s="2016"/>
      <c r="G22" s="2016"/>
      <c r="H22" s="2016"/>
      <c r="I22" s="2016"/>
      <c r="J22" s="2017">
        <f>+MIN('PÉRDIDAS ECONO Al'!$R$36:$T$36)</f>
        <v>292648965.4373824</v>
      </c>
      <c r="K22" s="2017"/>
      <c r="L22" s="2017"/>
      <c r="M22" s="2017"/>
      <c r="N22" s="2018" t="e">
        <f>+J22/$J$23</f>
        <v>#N/A</v>
      </c>
      <c r="O22" s="2018"/>
      <c r="P22" s="2018"/>
      <c r="Q22" s="2003">
        <f>+HLOOKUP(AF22,'PÉRDIDAS ECONO Al'!$BT$35:$CB$36,2,FALSE)</f>
        <v>158942012.90240002</v>
      </c>
      <c r="R22" s="2004">
        <v>33109174.067343779</v>
      </c>
      <c r="S22" s="2004">
        <v>33109174.067343779</v>
      </c>
      <c r="T22" s="2005">
        <v>33109174.067343779</v>
      </c>
      <c r="U22" s="2006">
        <f>+Q22/J22</f>
        <v>0.54311489762094711</v>
      </c>
      <c r="V22" s="2006"/>
      <c r="W22" s="2006"/>
      <c r="X22" s="2006"/>
      <c r="Y22" s="2003">
        <f>+HLOOKUP(AF22,'PÉRDIDAS ECONO Al'!$BN$35:$BP$36,2,FALSE)</f>
        <v>111541632.64198433</v>
      </c>
      <c r="Z22" s="2004">
        <v>25812574.161515605</v>
      </c>
      <c r="AA22" s="2004">
        <v>25812574.161515605</v>
      </c>
      <c r="AB22" s="2005">
        <v>25812574.161515605</v>
      </c>
      <c r="AC22" s="2006">
        <f>+Y22/J22</f>
        <v>0.38114480423765823</v>
      </c>
      <c r="AD22" s="2006"/>
      <c r="AE22" s="2006"/>
      <c r="AF22" s="2007" t="str">
        <f>IF(MIN('PÉRDIDAS ECONO Al'!$R$36:$T$36)='PÉRDIDAS ECONO Al'!$T$36,"OPCIÓN TÉCNICA",IF(MIN('PÉRDIDAS ECONO Al'!$R$36:$T$36)='PÉRDIDAS ECONO Al'!$S$36,"OPCIÓN 2","OPCIÓN 1"))</f>
        <v>OPCIÓN TÉCNICA</v>
      </c>
      <c r="AG22" s="2007"/>
      <c r="AH22" s="2007"/>
      <c r="AI22" s="524"/>
      <c r="AJ22" s="522"/>
    </row>
    <row r="23" spans="1:62" ht="25.5" customHeight="1" x14ac:dyDescent="0.25">
      <c r="A23" s="2016" t="s">
        <v>1293</v>
      </c>
      <c r="B23" s="2016"/>
      <c r="C23" s="2016"/>
      <c r="D23" s="2016"/>
      <c r="E23" s="2016"/>
      <c r="F23" s="2016"/>
      <c r="G23" s="2016"/>
      <c r="H23" s="2016"/>
      <c r="I23" s="2016"/>
      <c r="J23" s="2017" t="e">
        <f>+MIN('PÉRDIDAS ECONO Cu'!$Q$32:$S$32)</f>
        <v>#N/A</v>
      </c>
      <c r="K23" s="2017"/>
      <c r="L23" s="2017"/>
      <c r="M23" s="2017"/>
      <c r="N23" s="2019" t="e">
        <f>+J23/$J$23</f>
        <v>#N/A</v>
      </c>
      <c r="O23" s="2019"/>
      <c r="P23" s="2019"/>
      <c r="Q23" s="2003" t="e">
        <f>+HLOOKUP(AF23,'PÉRDIDAS ECONO Cu'!$CB$31:$CJ$32,2,FALSE)</f>
        <v>#N/A</v>
      </c>
      <c r="R23" s="2004">
        <v>33109174.067343779</v>
      </c>
      <c r="S23" s="2004">
        <v>33109174.067343779</v>
      </c>
      <c r="T23" s="2005">
        <v>33109174.067343779</v>
      </c>
      <c r="U23" s="2006" t="e">
        <f>+Q23/J23</f>
        <v>#N/A</v>
      </c>
      <c r="V23" s="2006"/>
      <c r="W23" s="2006"/>
      <c r="X23" s="2006"/>
      <c r="Y23" s="2003" t="e">
        <f>+HLOOKUP(AF23,'PÉRDIDAS ECONO Cu'!$BV$31:$BX$32,2,FALSE)</f>
        <v>#N/A</v>
      </c>
      <c r="Z23" s="2004">
        <v>28413441.485205792</v>
      </c>
      <c r="AA23" s="2004">
        <v>28413441.485205792</v>
      </c>
      <c r="AB23" s="2005">
        <v>28413441.485205792</v>
      </c>
      <c r="AC23" s="2015" t="e">
        <f>+Y23/J23</f>
        <v>#N/A</v>
      </c>
      <c r="AD23" s="2015"/>
      <c r="AE23" s="2015"/>
      <c r="AF23" s="2007" t="e">
        <f>IF(MIN('PÉRDIDAS ECONO Cu'!$Q$32:$S$32)='PÉRDIDAS ECONO Cu'!$S$32,"OPCIÓN TÉCNICA",IF(MIN('PÉRDIDAS ECONO Cu'!$Q$32:$S$32)='PÉRDIDAS ECONO Cu'!$R$32,"OPCIÓN 2","OPCIÓN 1"))</f>
        <v>#N/A</v>
      </c>
      <c r="AG23" s="2007"/>
      <c r="AH23" s="2007"/>
      <c r="AI23" s="524"/>
    </row>
    <row r="24" spans="1:62" ht="25.5" customHeight="1" x14ac:dyDescent="0.25">
      <c r="A24" s="2016" t="s">
        <v>1294</v>
      </c>
      <c r="B24" s="2016"/>
      <c r="C24" s="2016"/>
      <c r="D24" s="2016"/>
      <c r="E24" s="2016"/>
      <c r="F24" s="2016"/>
      <c r="G24" s="2016"/>
      <c r="H24" s="2016"/>
      <c r="I24" s="2016"/>
      <c r="J24" s="2020">
        <f>+'PÉRDIDAS ECONO Al'!T36</f>
        <v>292648965.4373824</v>
      </c>
      <c r="K24" s="2020"/>
      <c r="L24" s="2020"/>
      <c r="M24" s="2020"/>
      <c r="N24" s="2018" t="e">
        <f>+J24/$J$25</f>
        <v>#N/A</v>
      </c>
      <c r="O24" s="2018"/>
      <c r="P24" s="2018"/>
      <c r="Q24" s="2003">
        <f>+'PÉRDIDAS ECONO Al'!CB36</f>
        <v>158942012.90240002</v>
      </c>
      <c r="R24" s="2004">
        <v>19530719.18290722</v>
      </c>
      <c r="S24" s="2004">
        <v>19530719.18290722</v>
      </c>
      <c r="T24" s="2005">
        <v>19530719.18290722</v>
      </c>
      <c r="U24" s="2006">
        <f>+Q24/J24</f>
        <v>0.54311489762094711</v>
      </c>
      <c r="V24" s="2006"/>
      <c r="W24" s="2006"/>
      <c r="X24" s="2006"/>
      <c r="Y24" s="2003">
        <f>+'PÉRDIDAS ECONO Al'!BP36</f>
        <v>111541632.64198433</v>
      </c>
      <c r="Z24" s="2004">
        <v>61085700.197969645</v>
      </c>
      <c r="AA24" s="2004">
        <v>61085700.197969645</v>
      </c>
      <c r="AB24" s="2005">
        <v>61085700.197969645</v>
      </c>
      <c r="AC24" s="2006">
        <f>+Y24/J24</f>
        <v>0.38114480423765823</v>
      </c>
      <c r="AD24" s="2006"/>
      <c r="AE24" s="2006"/>
      <c r="AF24" s="2007" t="s">
        <v>1252</v>
      </c>
      <c r="AG24" s="2007"/>
      <c r="AH24" s="2007"/>
      <c r="AI24" s="524"/>
    </row>
    <row r="25" spans="1:62" s="371" customFormat="1" ht="25.5" customHeight="1" x14ac:dyDescent="0.25">
      <c r="A25" s="2016" t="s">
        <v>1295</v>
      </c>
      <c r="B25" s="2016"/>
      <c r="C25" s="2016"/>
      <c r="D25" s="2016"/>
      <c r="E25" s="2016"/>
      <c r="F25" s="2016"/>
      <c r="G25" s="2016"/>
      <c r="H25" s="2016"/>
      <c r="I25" s="2016"/>
      <c r="J25" s="2020" t="e">
        <f>+'PÉRDIDAS ECONO Cu'!S32</f>
        <v>#N/A</v>
      </c>
      <c r="K25" s="2020"/>
      <c r="L25" s="2020"/>
      <c r="M25" s="2020"/>
      <c r="N25" s="2019" t="e">
        <f>+J25/$J$25</f>
        <v>#N/A</v>
      </c>
      <c r="O25" s="2019"/>
      <c r="P25" s="2019"/>
      <c r="Q25" s="2003" t="e">
        <f>+'PÉRDIDAS ECONO Cu'!$CJ$32</f>
        <v>#N/A</v>
      </c>
      <c r="R25" s="2004">
        <v>33109174.067343779</v>
      </c>
      <c r="S25" s="2004">
        <v>33109174.067343779</v>
      </c>
      <c r="T25" s="2005">
        <v>33109174.067343779</v>
      </c>
      <c r="U25" s="2006" t="e">
        <f>+Q25/J25</f>
        <v>#N/A</v>
      </c>
      <c r="V25" s="2006"/>
      <c r="W25" s="2006"/>
      <c r="X25" s="2006"/>
      <c r="Y25" s="2003" t="e">
        <f>+'PÉRDIDAS ECONO Cu'!$BX$32</f>
        <v>#N/A</v>
      </c>
      <c r="Z25" s="2004">
        <v>28413441.485205792</v>
      </c>
      <c r="AA25" s="2004">
        <v>28413441.485205792</v>
      </c>
      <c r="AB25" s="2005">
        <v>28413441.485205792</v>
      </c>
      <c r="AC25" s="2015" t="e">
        <f>+Y25/J25</f>
        <v>#N/A</v>
      </c>
      <c r="AD25" s="2015"/>
      <c r="AE25" s="2015"/>
      <c r="AF25" s="2007" t="s">
        <v>1252</v>
      </c>
      <c r="AG25" s="2007"/>
      <c r="AH25" s="2007"/>
      <c r="AI25" s="524"/>
      <c r="AJ25" s="521"/>
      <c r="AK25" s="522"/>
    </row>
    <row r="26" spans="1:62" s="411" customFormat="1" ht="12.75" customHeight="1" x14ac:dyDescent="0.25">
      <c r="A26" s="523"/>
      <c r="B26" s="520"/>
      <c r="C26" s="520"/>
      <c r="D26" s="520"/>
      <c r="E26" s="520"/>
      <c r="F26" s="520"/>
      <c r="G26" s="520"/>
      <c r="H26" s="520"/>
      <c r="I26" s="520"/>
      <c r="J26" s="520"/>
      <c r="K26" s="520"/>
      <c r="L26" s="520"/>
      <c r="M26" s="520"/>
      <c r="N26" s="520"/>
      <c r="O26" s="520"/>
      <c r="P26" s="520"/>
      <c r="Q26" s="520"/>
      <c r="R26" s="520"/>
      <c r="AJ26" s="525"/>
      <c r="AK26" s="526"/>
    </row>
    <row r="27" spans="1:62" s="312" customFormat="1" ht="28.5" customHeight="1" x14ac:dyDescent="0.35">
      <c r="A27" s="1457" t="s">
        <v>1296</v>
      </c>
      <c r="B27" s="1457"/>
      <c r="C27" s="1457"/>
      <c r="D27" s="1457"/>
      <c r="E27" s="1457"/>
      <c r="F27" s="1457"/>
      <c r="G27" s="1457"/>
      <c r="H27" s="1457"/>
      <c r="I27" s="1457"/>
      <c r="J27" s="1457"/>
      <c r="K27" s="1457"/>
      <c r="L27" s="1457"/>
      <c r="M27" s="1457"/>
      <c r="N27" s="1457"/>
      <c r="O27" s="1457"/>
      <c r="P27" s="1457"/>
      <c r="Q27" s="1457"/>
      <c r="R27" s="1457"/>
      <c r="S27" s="1457"/>
      <c r="T27" s="1457"/>
      <c r="U27" s="1457"/>
      <c r="V27" s="1457"/>
      <c r="W27" s="1457"/>
      <c r="X27" s="1457"/>
      <c r="Y27" s="1457"/>
      <c r="Z27" s="1457"/>
      <c r="AA27" s="1457"/>
      <c r="AB27" s="1457"/>
      <c r="AC27" s="1457"/>
      <c r="AD27" s="1457"/>
      <c r="AE27" s="1457"/>
      <c r="AF27" s="1457"/>
      <c r="AG27" s="1457"/>
      <c r="AH27" s="1457"/>
      <c r="AJ27" s="509"/>
      <c r="AK27" s="310"/>
      <c r="AL27" s="510"/>
      <c r="AM27" s="335"/>
      <c r="AN27" s="335"/>
      <c r="AO27" s="1487"/>
      <c r="AP27" s="1487"/>
      <c r="AQ27" s="1487"/>
      <c r="AR27" s="1487"/>
      <c r="AS27" s="1487"/>
      <c r="AT27" s="1487"/>
      <c r="AU27" s="1487"/>
      <c r="AV27" s="1487"/>
      <c r="AW27" s="1487"/>
      <c r="AX27" s="1487"/>
      <c r="AY27" s="1487"/>
      <c r="AZ27" s="1487"/>
      <c r="BA27" s="1487"/>
      <c r="BB27" s="1487"/>
      <c r="BC27" s="1487"/>
      <c r="BD27" s="1487"/>
      <c r="BE27" s="1487"/>
      <c r="BF27" s="1487"/>
      <c r="BG27" s="1487"/>
      <c r="BH27" s="1487"/>
      <c r="BI27" s="1487"/>
      <c r="BJ27" s="1487"/>
    </row>
    <row r="28" spans="1:62" s="411" customFormat="1" ht="12.75" customHeight="1" x14ac:dyDescent="0.25">
      <c r="A28" s="523"/>
      <c r="B28" s="520"/>
      <c r="C28" s="520"/>
      <c r="D28" s="520"/>
      <c r="E28" s="520"/>
      <c r="F28" s="520"/>
      <c r="G28" s="520"/>
      <c r="H28" s="520"/>
      <c r="I28" s="520"/>
      <c r="J28" s="520"/>
      <c r="K28" s="520"/>
      <c r="L28" s="520"/>
      <c r="M28" s="520"/>
      <c r="N28" s="520"/>
      <c r="O28" s="520"/>
      <c r="P28" s="520"/>
      <c r="Q28" s="520"/>
      <c r="R28" s="520"/>
      <c r="AJ28" s="525"/>
      <c r="AK28" s="526"/>
    </row>
    <row r="29" spans="1:62" s="312" customFormat="1" ht="42" customHeight="1" x14ac:dyDescent="0.25">
      <c r="A29" s="1457" t="s">
        <v>1297</v>
      </c>
      <c r="B29" s="1457"/>
      <c r="C29" s="1457"/>
      <c r="D29" s="1457"/>
      <c r="E29" s="1457"/>
      <c r="F29" s="1457"/>
      <c r="G29" s="1457"/>
      <c r="H29" s="1457"/>
      <c r="I29" s="1457"/>
      <c r="J29" s="1457"/>
      <c r="K29" s="1457"/>
      <c r="L29" s="1457"/>
      <c r="M29" s="1457"/>
      <c r="N29" s="1457"/>
      <c r="O29" s="1457"/>
      <c r="P29" s="1457"/>
      <c r="Q29" s="1457"/>
      <c r="R29" s="1457"/>
      <c r="S29" s="1457"/>
      <c r="T29" s="1457"/>
      <c r="U29" s="1457"/>
      <c r="V29" s="1457"/>
      <c r="W29" s="1457"/>
      <c r="X29" s="1457"/>
      <c r="Y29" s="1457"/>
      <c r="Z29" s="1457"/>
      <c r="AA29" s="1457"/>
      <c r="AB29" s="1457"/>
      <c r="AC29" s="1457"/>
      <c r="AD29" s="1457"/>
      <c r="AE29" s="1457"/>
      <c r="AF29" s="1457"/>
      <c r="AG29" s="1457"/>
      <c r="AH29" s="1457"/>
      <c r="AJ29" s="521"/>
      <c r="AK29" s="522"/>
      <c r="AL29" s="371"/>
      <c r="AM29" s="371"/>
      <c r="AN29" s="335"/>
      <c r="AO29" s="1487"/>
      <c r="AP29" s="1487"/>
      <c r="AQ29" s="1487"/>
      <c r="AR29" s="1487"/>
      <c r="AS29" s="1487"/>
      <c r="AT29" s="1487"/>
      <c r="AU29" s="1487"/>
      <c r="AV29" s="1487"/>
      <c r="AW29" s="1487"/>
      <c r="AX29" s="1487"/>
      <c r="AY29" s="1487"/>
      <c r="AZ29" s="1487"/>
      <c r="BA29" s="1487"/>
      <c r="BB29" s="1487"/>
      <c r="BC29" s="1487"/>
      <c r="BD29" s="1487"/>
      <c r="BE29" s="1487"/>
      <c r="BF29" s="1487"/>
      <c r="BG29" s="1487"/>
      <c r="BH29" s="1487"/>
      <c r="BI29" s="1487"/>
      <c r="BJ29" s="1487"/>
    </row>
    <row r="30" spans="1:62" s="411" customFormat="1" ht="12.75" customHeight="1" x14ac:dyDescent="0.25">
      <c r="A30" s="518"/>
      <c r="B30" s="519"/>
      <c r="C30" s="519"/>
      <c r="D30" s="519"/>
      <c r="E30" s="519"/>
      <c r="F30" s="519"/>
      <c r="G30" s="519"/>
      <c r="H30" s="519"/>
      <c r="I30" s="519"/>
      <c r="J30" s="519"/>
      <c r="K30" s="519"/>
      <c r="L30" s="519"/>
      <c r="M30" s="519"/>
      <c r="N30" s="519"/>
      <c r="O30" s="519"/>
      <c r="P30" s="519"/>
      <c r="Q30" s="519"/>
      <c r="R30" s="519"/>
      <c r="AJ30" s="509"/>
      <c r="AK30" s="509"/>
      <c r="AL30" s="509"/>
      <c r="AM30" s="509"/>
    </row>
    <row r="31" spans="1:62" s="312" customFormat="1" ht="28.5" customHeight="1" x14ac:dyDescent="0.35">
      <c r="A31" s="1457" t="s">
        <v>1298</v>
      </c>
      <c r="B31" s="1457"/>
      <c r="C31" s="1457"/>
      <c r="D31" s="1457"/>
      <c r="E31" s="1457"/>
      <c r="F31" s="1457"/>
      <c r="G31" s="1457"/>
      <c r="H31" s="1457"/>
      <c r="I31" s="1457"/>
      <c r="J31" s="1457"/>
      <c r="K31" s="1457"/>
      <c r="L31" s="1457"/>
      <c r="M31" s="1457"/>
      <c r="N31" s="1457"/>
      <c r="O31" s="1457"/>
      <c r="P31" s="1457"/>
      <c r="Q31" s="1457"/>
      <c r="R31" s="1457"/>
      <c r="S31" s="1457"/>
      <c r="T31" s="1457"/>
      <c r="U31" s="1457"/>
      <c r="V31" s="1457"/>
      <c r="W31" s="1457"/>
      <c r="X31" s="1457"/>
      <c r="Y31" s="1457"/>
      <c r="Z31" s="1457"/>
      <c r="AA31" s="1457"/>
      <c r="AB31" s="1457"/>
      <c r="AC31" s="1457"/>
      <c r="AD31" s="1457"/>
      <c r="AE31" s="1457"/>
      <c r="AF31" s="1457"/>
      <c r="AG31" s="1457"/>
      <c r="AH31" s="1457"/>
      <c r="AJ31" s="509"/>
      <c r="AK31" s="310"/>
      <c r="AL31" s="510"/>
      <c r="AM31" s="335"/>
      <c r="AN31" s="335"/>
      <c r="AO31" s="1487"/>
      <c r="AP31" s="1487"/>
      <c r="AQ31" s="1487"/>
      <c r="AR31" s="1487"/>
      <c r="AS31" s="1487"/>
      <c r="AT31" s="1487"/>
      <c r="AU31" s="1487"/>
      <c r="AV31" s="1487"/>
      <c r="AW31" s="1487"/>
      <c r="AX31" s="1487"/>
      <c r="AY31" s="1487"/>
      <c r="AZ31" s="1487"/>
      <c r="BA31" s="1487"/>
      <c r="BB31" s="1487"/>
      <c r="BC31" s="1487"/>
      <c r="BD31" s="1487"/>
      <c r="BE31" s="1487"/>
      <c r="BF31" s="1487"/>
      <c r="BG31" s="1487"/>
      <c r="BH31" s="1487"/>
      <c r="BI31" s="1487"/>
      <c r="BJ31" s="1487"/>
    </row>
    <row r="32" spans="1:62" ht="15.75" customHeight="1" x14ac:dyDescent="0.25">
      <c r="A32" s="374"/>
      <c r="B32" s="374"/>
      <c r="C32" s="374"/>
      <c r="D32" s="374"/>
      <c r="E32" s="374"/>
      <c r="F32" s="374"/>
      <c r="G32" s="374"/>
      <c r="H32" s="527"/>
      <c r="I32" s="527"/>
      <c r="J32" s="527"/>
      <c r="K32" s="528"/>
      <c r="L32" s="528"/>
      <c r="M32" s="528"/>
      <c r="N32" s="529"/>
      <c r="O32" s="529"/>
      <c r="P32" s="529"/>
      <c r="Q32" s="530"/>
      <c r="R32" s="375"/>
      <c r="S32" s="349"/>
    </row>
  </sheetData>
  <sheetProtection formatCells="0" formatRows="0" selectLockedCells="1"/>
  <protectedRanges>
    <protectedRange sqref="G6:S8" name="Rango2"/>
  </protectedRanges>
  <mergeCells count="69">
    <mergeCell ref="A27:AH27"/>
    <mergeCell ref="AO27:BJ27"/>
    <mergeCell ref="A29:AH29"/>
    <mergeCell ref="AO29:BJ29"/>
    <mergeCell ref="A31:AH31"/>
    <mergeCell ref="AO31:BJ31"/>
    <mergeCell ref="AC24:AE24"/>
    <mergeCell ref="AF24:AH24"/>
    <mergeCell ref="A25:I25"/>
    <mergeCell ref="J25:M25"/>
    <mergeCell ref="N25:P25"/>
    <mergeCell ref="Q25:T25"/>
    <mergeCell ref="U25:X25"/>
    <mergeCell ref="Y25:AB25"/>
    <mergeCell ref="AC25:AE25"/>
    <mergeCell ref="AF25:AH25"/>
    <mergeCell ref="A24:I24"/>
    <mergeCell ref="J24:M24"/>
    <mergeCell ref="N24:P24"/>
    <mergeCell ref="Q24:T24"/>
    <mergeCell ref="U24:X24"/>
    <mergeCell ref="Y24:AB24"/>
    <mergeCell ref="Y23:AB23"/>
    <mergeCell ref="AC23:AE23"/>
    <mergeCell ref="AF23:AH23"/>
    <mergeCell ref="A22:I22"/>
    <mergeCell ref="J22:M22"/>
    <mergeCell ref="N22:P22"/>
    <mergeCell ref="Q22:T22"/>
    <mergeCell ref="U22:X22"/>
    <mergeCell ref="A23:I23"/>
    <mergeCell ref="J23:M23"/>
    <mergeCell ref="N23:P23"/>
    <mergeCell ref="Q23:T23"/>
    <mergeCell ref="U23:X23"/>
    <mergeCell ref="AO14:BJ14"/>
    <mergeCell ref="Y22:AB22"/>
    <mergeCell ref="AC22:AE22"/>
    <mergeCell ref="AF22:AH22"/>
    <mergeCell ref="A16:AH16"/>
    <mergeCell ref="AO16:BJ16"/>
    <mergeCell ref="A19:I21"/>
    <mergeCell ref="J19:P20"/>
    <mergeCell ref="Q19:X20"/>
    <mergeCell ref="Y19:AE20"/>
    <mergeCell ref="AF19:AH21"/>
    <mergeCell ref="J21:M21"/>
    <mergeCell ref="N21:P21"/>
    <mergeCell ref="Q21:T21"/>
    <mergeCell ref="U21:X21"/>
    <mergeCell ref="Y21:AB21"/>
    <mergeCell ref="AC21:AE21"/>
    <mergeCell ref="AC6:AH6"/>
    <mergeCell ref="A8:AH8"/>
    <mergeCell ref="A10:AH10"/>
    <mergeCell ref="A14:AH14"/>
    <mergeCell ref="AO10:BJ10"/>
    <mergeCell ref="A12:AH12"/>
    <mergeCell ref="AO12:BJ12"/>
    <mergeCell ref="A1:H6"/>
    <mergeCell ref="I1:AH2"/>
    <mergeCell ref="I3:AH4"/>
    <mergeCell ref="I5:Q5"/>
    <mergeCell ref="R5:W5"/>
    <mergeCell ref="X5:AB5"/>
    <mergeCell ref="AC5:AH5"/>
    <mergeCell ref="I6:Q6"/>
    <mergeCell ref="R6:W6"/>
    <mergeCell ref="X6:AB6"/>
  </mergeCells>
  <printOptions horizontalCentered="1"/>
  <pageMargins left="0.78740157480314965" right="0.78740157480314965" top="0.78740157480314965" bottom="0.78740157480314965" header="1.6929133858267718" footer="0.51181102362204722"/>
  <pageSetup scale="73" fitToHeight="0" orientation="portrait" r:id="rId1"/>
  <headerFooter>
    <oddHeader xml:space="preserve">&amp;R&amp;8&amp;P de &amp;N                          </oddHeader>
    <oddFooter>&amp;L&amp;8SER-GP-EL-SE-MC-002 V.1. 07-11-2022&amp;R&amp;8CÓDIGO SERINGTEC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362FF-647A-42DB-9B66-FF3AAA806CE0}">
  <sheetPr codeName="Hoja44">
    <pageSetUpPr fitToPage="1"/>
  </sheetPr>
  <dimension ref="B1:AG90"/>
  <sheetViews>
    <sheetView showGridLines="0" view="pageBreakPreview" zoomScale="90" zoomScaleNormal="100" zoomScaleSheetLayoutView="90" workbookViewId="0">
      <selection activeCell="E4" sqref="E4"/>
    </sheetView>
  </sheetViews>
  <sheetFormatPr baseColWidth="10" defaultColWidth="11.44140625" defaultRowHeight="13.2" x14ac:dyDescent="0.25"/>
  <cols>
    <col min="1" max="1" width="1.33203125" style="666" customWidth="1"/>
    <col min="2" max="2" width="6.109375" style="666" customWidth="1"/>
    <col min="3" max="3" width="13.88671875" style="666" customWidth="1"/>
    <col min="4" max="4" width="19.6640625" style="666" customWidth="1"/>
    <col min="5" max="5" width="8.88671875" style="666" customWidth="1"/>
    <col min="6" max="6" width="11.6640625" style="666" customWidth="1"/>
    <col min="7" max="7" width="5.33203125" style="666" customWidth="1"/>
    <col min="8" max="9" width="9.109375" style="666" customWidth="1"/>
    <col min="10" max="11" width="7.5546875" style="666" customWidth="1"/>
    <col min="12" max="12" width="11.88671875" style="666" bestFit="1" customWidth="1"/>
    <col min="13" max="13" width="10.44140625" style="666" customWidth="1"/>
    <col min="14" max="14" width="11.44140625" style="666" customWidth="1"/>
    <col min="15" max="15" width="11" style="666" customWidth="1"/>
    <col min="16" max="16" width="11.109375" style="666" customWidth="1"/>
    <col min="17" max="17" width="10.6640625" style="666" customWidth="1"/>
    <col min="18" max="18" width="13" style="666" customWidth="1"/>
    <col min="19" max="19" width="9.5546875" style="666" customWidth="1"/>
    <col min="20" max="20" width="11.6640625" style="666" customWidth="1"/>
    <col min="21" max="21" width="12.109375" style="666" customWidth="1"/>
    <col min="22" max="22" width="0.88671875" style="666" customWidth="1"/>
    <col min="23" max="23" width="12.109375" style="666" bestFit="1" customWidth="1"/>
    <col min="24" max="24" width="18.88671875" style="666" bestFit="1" customWidth="1"/>
    <col min="25" max="16384" width="11.44140625" style="666"/>
  </cols>
  <sheetData>
    <row r="1" spans="2:33" ht="12.6" customHeight="1" x14ac:dyDescent="0.25"/>
    <row r="2" spans="2:33" ht="27.6" customHeight="1" x14ac:dyDescent="0.25">
      <c r="E2" s="2044" t="str">
        <f>'PORTADA '!I1</f>
        <v>MEMORIA DE CÁLCULO DE CONDUCTORES, CANALIZACIONES Y CUADRO DE CARGAS - DT-58</v>
      </c>
      <c r="F2" s="2044"/>
      <c r="G2" s="2044"/>
      <c r="H2" s="2044"/>
      <c r="I2" s="2044"/>
      <c r="J2" s="2044"/>
      <c r="K2" s="2044"/>
      <c r="L2" s="2044"/>
      <c r="M2" s="2044"/>
      <c r="N2" s="2044"/>
      <c r="O2" s="2044"/>
      <c r="P2" s="2044"/>
      <c r="Q2" s="2044"/>
      <c r="R2" s="2044"/>
      <c r="S2" s="2044"/>
      <c r="T2" s="2044"/>
      <c r="U2" s="2044"/>
    </row>
    <row r="3" spans="2:33" ht="21" customHeight="1" x14ac:dyDescent="0.25">
      <c r="E3" s="2045" t="str">
        <f>'PORTADA '!I3</f>
        <v>Contrato No. 3037739 ODS-039: “INGENIERÍA BÁSICA DESARROLLO INTEGRAL DINA T - PALOGRANDE”</v>
      </c>
      <c r="F3" s="2045"/>
      <c r="G3" s="2045"/>
      <c r="H3" s="2045"/>
      <c r="I3" s="2045"/>
      <c r="J3" s="2045"/>
      <c r="K3" s="2045"/>
      <c r="L3" s="2045"/>
      <c r="M3" s="2045"/>
      <c r="N3" s="2045"/>
      <c r="O3" s="2045"/>
      <c r="P3" s="2045"/>
      <c r="Q3" s="2045"/>
      <c r="R3" s="2045"/>
      <c r="S3" s="2045"/>
      <c r="T3" s="2045"/>
      <c r="U3" s="2045"/>
    </row>
    <row r="4" spans="2:33" ht="12" customHeight="1" x14ac:dyDescent="0.25">
      <c r="E4" s="833" t="s">
        <v>3</v>
      </c>
      <c r="F4" s="2046">
        <f>'PORTADA '!R6</f>
        <v>0</v>
      </c>
      <c r="G4" s="2046"/>
      <c r="H4" s="2046"/>
      <c r="I4" s="2046"/>
      <c r="J4" s="2046"/>
      <c r="K4" s="2046"/>
      <c r="L4" s="2046"/>
      <c r="M4" s="2046"/>
      <c r="N4" s="2046"/>
      <c r="O4" s="2046"/>
      <c r="P4" s="2046"/>
      <c r="Q4" s="2046"/>
      <c r="R4" s="2046"/>
      <c r="S4" s="2046"/>
      <c r="T4" s="2046"/>
      <c r="U4" s="2046"/>
    </row>
    <row r="5" spans="2:33" ht="12" customHeight="1" x14ac:dyDescent="0.25">
      <c r="E5" s="833" t="s">
        <v>4</v>
      </c>
      <c r="F5" s="2048">
        <f>'PORTADA '!X6</f>
        <v>46007</v>
      </c>
      <c r="G5" s="2049"/>
      <c r="H5" s="2049"/>
      <c r="I5" s="2049"/>
      <c r="J5" s="2049"/>
      <c r="K5" s="2048"/>
      <c r="L5" s="2049"/>
      <c r="M5" s="2049"/>
      <c r="N5" s="2049"/>
      <c r="O5" s="2049"/>
      <c r="P5" s="2048"/>
      <c r="Q5" s="2049"/>
      <c r="R5" s="2049"/>
      <c r="S5" s="2049"/>
      <c r="T5" s="2049"/>
      <c r="U5" s="1024"/>
    </row>
    <row r="6" spans="2:33" ht="11.4" customHeight="1" x14ac:dyDescent="0.25">
      <c r="B6" s="667"/>
      <c r="C6" s="667"/>
      <c r="D6" s="667"/>
      <c r="E6" s="725"/>
      <c r="F6" s="788"/>
      <c r="G6" s="818"/>
      <c r="H6" s="814"/>
      <c r="I6" s="815"/>
      <c r="J6" s="815"/>
      <c r="K6" s="815"/>
      <c r="L6" s="816"/>
      <c r="M6" s="816"/>
      <c r="N6" s="816"/>
      <c r="O6" s="816"/>
      <c r="P6" s="816"/>
      <c r="Q6" s="816"/>
      <c r="R6" s="816"/>
      <c r="S6" s="817"/>
      <c r="T6" s="817"/>
      <c r="U6" s="817"/>
    </row>
    <row r="7" spans="2:33" ht="30.75" customHeight="1" x14ac:dyDescent="0.25">
      <c r="B7" s="1335">
        <v>6</v>
      </c>
      <c r="C7" s="2040" t="str">
        <f>"CUADRO DE CARGAS - TRANSFORMADOR "&amp;Longitudes!C6</f>
        <v>CUADRO DE CARGAS - TRANSFORMADOR SDT-8</v>
      </c>
      <c r="D7" s="2040"/>
      <c r="E7" s="2040"/>
      <c r="F7" s="2040"/>
      <c r="G7" s="2040"/>
      <c r="H7" s="2040"/>
      <c r="I7" s="2040"/>
      <c r="J7" s="2040"/>
      <c r="K7" s="2040"/>
      <c r="L7" s="2040"/>
      <c r="M7" s="2040"/>
      <c r="N7" s="2040"/>
      <c r="O7" s="2040"/>
      <c r="P7" s="2040"/>
      <c r="Q7" s="2040"/>
      <c r="R7" s="2040"/>
      <c r="S7" s="2040"/>
      <c r="T7" s="2040"/>
      <c r="U7" s="2040"/>
      <c r="Y7" s="757">
        <v>45063</v>
      </c>
    </row>
    <row r="8" spans="2:33" ht="30.75" customHeight="1" x14ac:dyDescent="0.25">
      <c r="B8" s="1335" t="s">
        <v>1299</v>
      </c>
      <c r="C8" s="2040" t="str">
        <f>"TABLERO DE BAJA TENSIÓN " &amp;Longitudes!C13</f>
        <v>TABLERO DE BAJA TENSIÓN TBT-DT-97</v>
      </c>
      <c r="D8" s="2040"/>
      <c r="E8" s="2040"/>
      <c r="F8" s="2040"/>
      <c r="G8" s="2040"/>
      <c r="H8" s="2040"/>
      <c r="I8" s="2040"/>
      <c r="J8" s="2040"/>
      <c r="K8" s="2040"/>
      <c r="L8" s="2040"/>
      <c r="M8" s="2040"/>
      <c r="N8" s="2040"/>
      <c r="O8" s="2040"/>
      <c r="P8" s="2040"/>
      <c r="Q8" s="2040"/>
      <c r="R8" s="2040"/>
      <c r="S8" s="2040"/>
      <c r="T8" s="2040"/>
      <c r="U8" s="2040"/>
    </row>
    <row r="9" spans="2:33" ht="50.25" customHeight="1" x14ac:dyDescent="0.25">
      <c r="B9" s="2041" t="s">
        <v>1300</v>
      </c>
      <c r="C9" s="2042" t="s">
        <v>1301</v>
      </c>
      <c r="D9" s="2042" t="s">
        <v>1302</v>
      </c>
      <c r="E9" s="2042"/>
      <c r="F9" s="2043" t="s">
        <v>1303</v>
      </c>
      <c r="G9" s="2042" t="s">
        <v>1304</v>
      </c>
      <c r="H9" s="2042"/>
      <c r="I9" s="2042"/>
      <c r="J9" s="2043" t="s">
        <v>1305</v>
      </c>
      <c r="K9" s="2043"/>
      <c r="L9" s="2043" t="s">
        <v>1306</v>
      </c>
      <c r="M9" s="2043" t="s">
        <v>1307</v>
      </c>
      <c r="N9" s="2043" t="s">
        <v>1308</v>
      </c>
      <c r="O9" s="1334" t="s">
        <v>1309</v>
      </c>
      <c r="P9" s="1334" t="s">
        <v>1310</v>
      </c>
      <c r="Q9" s="1334" t="s">
        <v>1311</v>
      </c>
      <c r="R9" s="1334" t="s">
        <v>1966</v>
      </c>
      <c r="S9" s="2042" t="s">
        <v>1312</v>
      </c>
      <c r="T9" s="2042"/>
      <c r="U9" s="2042"/>
    </row>
    <row r="10" spans="2:33" ht="37.5" customHeight="1" x14ac:dyDescent="0.4">
      <c r="B10" s="2041"/>
      <c r="C10" s="2042"/>
      <c r="D10" s="2042"/>
      <c r="E10" s="2042"/>
      <c r="F10" s="2043"/>
      <c r="G10" s="1333" t="s">
        <v>108</v>
      </c>
      <c r="H10" s="1333" t="s">
        <v>1313</v>
      </c>
      <c r="I10" s="1333" t="s">
        <v>1314</v>
      </c>
      <c r="J10" s="1334" t="s">
        <v>1315</v>
      </c>
      <c r="K10" s="1333" t="s">
        <v>1316</v>
      </c>
      <c r="L10" s="2043"/>
      <c r="M10" s="2043"/>
      <c r="N10" s="2043"/>
      <c r="O10" s="1333" t="s">
        <v>1317</v>
      </c>
      <c r="P10" s="1333" t="s">
        <v>1317</v>
      </c>
      <c r="Q10" s="1333" t="s">
        <v>1317</v>
      </c>
      <c r="R10" s="1333" t="s">
        <v>636</v>
      </c>
      <c r="S10" s="1333" t="s">
        <v>1318</v>
      </c>
      <c r="T10" s="1333" t="s">
        <v>1319</v>
      </c>
      <c r="U10" s="1333" t="s">
        <v>1320</v>
      </c>
      <c r="V10" s="668"/>
      <c r="W10" s="668"/>
      <c r="X10" s="668"/>
      <c r="Y10" s="668"/>
      <c r="Z10" s="668"/>
      <c r="AA10" s="668"/>
      <c r="AB10" s="668"/>
      <c r="AC10" s="668"/>
      <c r="AD10" s="668"/>
      <c r="AE10" s="668"/>
      <c r="AF10" s="668"/>
      <c r="AG10" s="668"/>
    </row>
    <row r="11" spans="2:33" ht="15.75" customHeight="1" x14ac:dyDescent="0.4">
      <c r="B11" s="2047" t="s">
        <v>1321</v>
      </c>
      <c r="C11" s="2047"/>
      <c r="D11" s="2047"/>
      <c r="E11" s="2047"/>
      <c r="F11" s="2047"/>
      <c r="G11" s="2047"/>
      <c r="H11" s="2047"/>
      <c r="I11" s="2047"/>
      <c r="J11" s="2047"/>
      <c r="K11" s="2047"/>
      <c r="L11" s="2047"/>
      <c r="M11" s="2047"/>
      <c r="N11" s="2047"/>
      <c r="O11" s="2047"/>
      <c r="P11" s="2047"/>
      <c r="Q11" s="2047"/>
      <c r="R11" s="2047"/>
      <c r="S11" s="2047"/>
      <c r="T11" s="2047"/>
      <c r="U11" s="2047"/>
      <c r="V11" s="668"/>
      <c r="W11" s="668"/>
      <c r="X11" s="668"/>
      <c r="Y11" s="668"/>
      <c r="Z11" s="668"/>
      <c r="AA11" s="668"/>
      <c r="AB11" s="668"/>
      <c r="AC11" s="668"/>
      <c r="AD11" s="668"/>
      <c r="AE11" s="668"/>
      <c r="AF11" s="668"/>
      <c r="AG11" s="668"/>
    </row>
    <row r="12" spans="2:33" s="671" customFormat="1" ht="23.1" customHeight="1" x14ac:dyDescent="0.25">
      <c r="B12" s="874" t="str">
        <f>+_xlfn.CONCAT("6.1.",SUBTOTAL(103,$C$12:C12))</f>
        <v>6.1.1</v>
      </c>
      <c r="C12" s="1336" t="str">
        <f>'Demanda Trafo A'!B6</f>
        <v>VFD-DT-97</v>
      </c>
      <c r="D12" s="2021" t="str">
        <f>+'Demanda Trafo A'!C6</f>
        <v>EQUIPO DE SUPERFICIE (VFD)</v>
      </c>
      <c r="E12" s="2021"/>
      <c r="F12" s="1418">
        <f>+'Demanda Trafo A'!E6</f>
        <v>60</v>
      </c>
      <c r="G12" s="874" t="str">
        <f>+'Demanda Trafo A'!F6</f>
        <v>AC</v>
      </c>
      <c r="H12" s="1337">
        <f>+'Demanda Trafo A'!G6</f>
        <v>480</v>
      </c>
      <c r="I12" s="874" t="str">
        <f>+'Demanda Trafo A'!H6</f>
        <v>3 Fases</v>
      </c>
      <c r="J12" s="1337">
        <f>+'Demanda Trafo A'!I6</f>
        <v>44.76</v>
      </c>
      <c r="K12" s="1338" t="str">
        <f>+'Demanda Trafo A'!J6</f>
        <v>kW</v>
      </c>
      <c r="L12" s="1339">
        <f>+'Demanda Trafo A'!K6</f>
        <v>0.8</v>
      </c>
      <c r="M12" s="1339">
        <f>+'Demanda Trafo A'!N6</f>
        <v>0.79600000000000004</v>
      </c>
      <c r="N12" s="1339">
        <f>+'Demanda Trafo A'!Z6</f>
        <v>0.98893635286829751</v>
      </c>
      <c r="O12" s="1339">
        <f>+'Demanda Trafo A'!O6</f>
        <v>0.94099999999999995</v>
      </c>
      <c r="P12" s="1339">
        <f>+'Demanda Trafo A'!T6</f>
        <v>0.97</v>
      </c>
      <c r="Q12" s="1339" t="str">
        <f>+'Demanda Trafo A'!U6</f>
        <v>N/A</v>
      </c>
      <c r="R12" s="1339">
        <f>SUM('Demanda Trafo A'!V6:W6)</f>
        <v>0.66711000000000009</v>
      </c>
      <c r="S12" s="1339">
        <f>'Demanda Trafo A'!Q6</f>
        <v>36.915463917525777</v>
      </c>
      <c r="T12" s="1339">
        <f>'Demanda Trafo A'!R6</f>
        <v>28.920466925474891</v>
      </c>
      <c r="U12" s="1339">
        <f>'Demanda Trafo A'!S6</f>
        <v>46.9</v>
      </c>
      <c r="V12" s="669"/>
      <c r="W12" s="670"/>
      <c r="X12" s="670"/>
      <c r="Y12" s="670"/>
      <c r="Z12" s="670"/>
      <c r="AA12" s="670"/>
      <c r="AB12" s="670"/>
      <c r="AC12" s="670"/>
      <c r="AD12" s="670"/>
      <c r="AE12" s="670"/>
      <c r="AF12" s="670"/>
      <c r="AG12" s="670"/>
    </row>
    <row r="13" spans="2:33" s="671" customFormat="1" ht="22.8" x14ac:dyDescent="0.25">
      <c r="B13" s="874" t="str">
        <f>+_xlfn.CONCAT("6.1.",SUBTOTAL(103,$C$12:C13))</f>
        <v>6.1.2</v>
      </c>
      <c r="C13" s="1336" t="str">
        <f>'Demanda Trafo A'!B7</f>
        <v>VFD-DT-58</v>
      </c>
      <c r="D13" s="2021" t="str">
        <f>+'Demanda Trafo A'!C7</f>
        <v>EQUIPO DE SUPERFICIE (VFD)</v>
      </c>
      <c r="E13" s="2021"/>
      <c r="F13" s="1418">
        <f>+'Demanda Trafo A'!E7</f>
        <v>80</v>
      </c>
      <c r="G13" s="874" t="str">
        <f>+'Demanda Trafo A'!F7</f>
        <v>AC</v>
      </c>
      <c r="H13" s="1337">
        <f>+'Demanda Trafo A'!G7</f>
        <v>480</v>
      </c>
      <c r="I13" s="874" t="str">
        <f>+'Demanda Trafo A'!H7</f>
        <v>3 Fases</v>
      </c>
      <c r="J13" s="1337">
        <f>+'Demanda Trafo A'!I7</f>
        <v>59.68</v>
      </c>
      <c r="K13" s="1338" t="str">
        <f>+'Demanda Trafo A'!J7</f>
        <v>kW</v>
      </c>
      <c r="L13" s="1339">
        <f>+'Demanda Trafo A'!K7</f>
        <v>0.8</v>
      </c>
      <c r="M13" s="1339">
        <f>+'Demanda Trafo A'!N7</f>
        <v>0.79600000000000004</v>
      </c>
      <c r="N13" s="1339">
        <f>+'Demanda Trafo A'!Z7</f>
        <v>0.98893635286829751</v>
      </c>
      <c r="O13" s="1339">
        <f>+'Demanda Trafo A'!O7</f>
        <v>0.94099999999999995</v>
      </c>
      <c r="P13" s="1339">
        <f>+'Demanda Trafo A'!T7</f>
        <v>0.97</v>
      </c>
      <c r="Q13" s="1339" t="str">
        <f>+'Demanda Trafo A'!U7</f>
        <v>N/A</v>
      </c>
      <c r="R13" s="1339">
        <f>SUM('Demanda Trafo A'!V7:W7)</f>
        <v>0.69625000000000015</v>
      </c>
      <c r="S13" s="1339">
        <f>'Demanda Trafo A'!Q7</f>
        <v>49.220618556701034</v>
      </c>
      <c r="T13" s="1339">
        <f>'Demanda Trafo A'!R7</f>
        <v>38.560622567299852</v>
      </c>
      <c r="U13" s="1339">
        <f>'Demanda Trafo A'!S7</f>
        <v>62.53</v>
      </c>
      <c r="V13" s="669"/>
      <c r="W13" s="670"/>
      <c r="X13" s="670"/>
      <c r="Y13" s="670"/>
      <c r="Z13" s="670"/>
      <c r="AA13" s="670"/>
      <c r="AB13" s="670"/>
      <c r="AC13" s="670"/>
      <c r="AD13" s="670"/>
      <c r="AE13" s="670"/>
      <c r="AF13" s="670"/>
      <c r="AG13" s="670"/>
    </row>
    <row r="14" spans="2:33" s="671" customFormat="1" ht="36" hidden="1" customHeight="1" x14ac:dyDescent="0.25">
      <c r="B14" s="874" t="str">
        <f>+_xlfn.CONCAT("6.1.",SUBTOTAL(103,$C$12:C14))</f>
        <v>6.1.2</v>
      </c>
      <c r="C14" s="874" t="e">
        <f>'Demanda Trafo A'!#REF!</f>
        <v>#REF!</v>
      </c>
      <c r="D14" s="2021" t="e">
        <f>+'Demanda Trafo A'!#REF!</f>
        <v>#REF!</v>
      </c>
      <c r="E14" s="2021"/>
      <c r="F14" s="1340" t="e">
        <f>+'Demanda Trafo A'!#REF!</f>
        <v>#REF!</v>
      </c>
      <c r="G14" s="874" t="e">
        <f>+'Demanda Trafo A'!#REF!</f>
        <v>#REF!</v>
      </c>
      <c r="H14" s="874" t="e">
        <f>+'Demanda Trafo A'!#REF!</f>
        <v>#REF!</v>
      </c>
      <c r="I14" s="874" t="e">
        <f>+'Demanda Trafo A'!#REF!</f>
        <v>#REF!</v>
      </c>
      <c r="J14" s="1337" t="e">
        <f>+'Demanda Trafo A'!#REF!</f>
        <v>#REF!</v>
      </c>
      <c r="K14" s="1338" t="e">
        <f>+'Demanda Trafo A'!#REF!</f>
        <v>#REF!</v>
      </c>
      <c r="L14" s="1339" t="e">
        <f>+'Demanda Trafo A'!#REF!</f>
        <v>#REF!</v>
      </c>
      <c r="M14" s="1339" t="e">
        <f>+'Demanda Trafo A'!#REF!</f>
        <v>#REF!</v>
      </c>
      <c r="N14" s="1339" t="e">
        <f>+'Demanda Trafo A'!#REF!</f>
        <v>#REF!</v>
      </c>
      <c r="O14" s="1339" t="e">
        <f>+'Demanda Trafo A'!#REF!</f>
        <v>#REF!</v>
      </c>
      <c r="P14" s="1339" t="e">
        <f>+'Demanda Trafo A'!#REF!</f>
        <v>#REF!</v>
      </c>
      <c r="Q14" s="1339" t="e">
        <f>+'Demanda Trafo A'!#REF!</f>
        <v>#REF!</v>
      </c>
      <c r="R14" s="1341" t="e">
        <f>+'Demanda Trafo A'!#REF!</f>
        <v>#REF!</v>
      </c>
      <c r="S14" s="1339" t="e">
        <f>+'Demanda Trafo A'!#REF!</f>
        <v>#REF!</v>
      </c>
      <c r="T14" s="1339" t="e">
        <f>+'Demanda Trafo A'!#REF!</f>
        <v>#REF!</v>
      </c>
      <c r="U14" s="1339" t="e">
        <f>+'Demanda Trafo A'!#REF!</f>
        <v>#REF!</v>
      </c>
      <c r="V14" s="669"/>
      <c r="W14" s="670"/>
      <c r="X14" s="670"/>
      <c r="Y14" s="670"/>
      <c r="Z14" s="670"/>
      <c r="AA14" s="670"/>
      <c r="AB14" s="670"/>
      <c r="AC14" s="670"/>
      <c r="AD14" s="670"/>
      <c r="AE14" s="670"/>
      <c r="AF14" s="670"/>
      <c r="AG14" s="670"/>
    </row>
    <row r="15" spans="2:33" ht="12" customHeight="1" x14ac:dyDescent="0.4">
      <c r="B15" s="864"/>
      <c r="C15" s="864"/>
      <c r="D15" s="865"/>
      <c r="E15" s="865"/>
      <c r="F15" s="864"/>
      <c r="G15" s="864"/>
      <c r="H15" s="864"/>
      <c r="I15" s="864"/>
      <c r="J15" s="864"/>
      <c r="K15" s="864"/>
      <c r="L15" s="866"/>
      <c r="M15" s="866"/>
      <c r="N15" s="866"/>
      <c r="O15" s="866"/>
      <c r="P15" s="867"/>
      <c r="Q15" s="867"/>
      <c r="R15" s="868"/>
      <c r="S15" s="866"/>
      <c r="T15" s="866"/>
      <c r="U15" s="866"/>
      <c r="V15" s="668"/>
      <c r="W15" s="668"/>
      <c r="X15" s="668"/>
      <c r="Y15" s="668"/>
      <c r="Z15" s="668"/>
      <c r="AA15" s="668"/>
      <c r="AB15" s="668"/>
      <c r="AC15" s="668"/>
      <c r="AD15" s="668"/>
      <c r="AE15" s="668"/>
      <c r="AF15" s="668"/>
      <c r="AG15" s="668"/>
    </row>
    <row r="16" spans="2:33" s="671" customFormat="1" ht="15" customHeight="1" x14ac:dyDescent="0.25">
      <c r="B16" s="2022" t="s">
        <v>2028</v>
      </c>
      <c r="C16" s="2022"/>
      <c r="D16" s="2022"/>
      <c r="E16" s="2022"/>
      <c r="F16" s="2022"/>
      <c r="G16" s="2022"/>
      <c r="H16" s="2022"/>
      <c r="I16" s="2022"/>
      <c r="J16" s="2022"/>
      <c r="K16" s="2022"/>
      <c r="L16" s="2022"/>
      <c r="M16" s="2022"/>
      <c r="N16" s="2022"/>
      <c r="O16" s="2022"/>
      <c r="P16" s="2022"/>
      <c r="Q16" s="2022"/>
      <c r="R16" s="2022"/>
      <c r="S16" s="875">
        <f>SUM(R12:R13)</f>
        <v>1.3633600000000001</v>
      </c>
      <c r="T16" s="876"/>
      <c r="U16" s="877"/>
    </row>
    <row r="17" spans="2:33" s="671" customFormat="1" ht="15" customHeight="1" x14ac:dyDescent="0.25">
      <c r="B17" s="2022" t="s">
        <v>2029</v>
      </c>
      <c r="C17" s="2022"/>
      <c r="D17" s="2022"/>
      <c r="E17" s="2022"/>
      <c r="F17" s="2022"/>
      <c r="G17" s="2022"/>
      <c r="H17" s="2022"/>
      <c r="I17" s="2022"/>
      <c r="J17" s="2022"/>
      <c r="K17" s="2022"/>
      <c r="L17" s="2022"/>
      <c r="M17" s="2022"/>
      <c r="N17" s="2022"/>
      <c r="O17" s="2022"/>
      <c r="P17" s="2022"/>
      <c r="Q17" s="2022"/>
      <c r="R17" s="2022"/>
      <c r="S17" s="875">
        <f>'Demanda Trafo A'!X8</f>
        <v>5.1400000000000006</v>
      </c>
      <c r="T17" s="876"/>
      <c r="U17" s="877"/>
    </row>
    <row r="18" spans="2:33" s="671" customFormat="1" ht="15" hidden="1" customHeight="1" x14ac:dyDescent="0.25">
      <c r="B18" s="2022" t="s">
        <v>1322</v>
      </c>
      <c r="C18" s="2022"/>
      <c r="D18" s="2022"/>
      <c r="E18" s="2022"/>
      <c r="F18" s="2022"/>
      <c r="G18" s="2022"/>
      <c r="H18" s="2022"/>
      <c r="I18" s="2022"/>
      <c r="J18" s="2022"/>
      <c r="K18" s="2022"/>
      <c r="L18" s="2022"/>
      <c r="M18" s="2022"/>
      <c r="N18" s="2022"/>
      <c r="O18" s="2022"/>
      <c r="P18" s="2022"/>
      <c r="Q18" s="2022"/>
      <c r="R18" s="2022"/>
      <c r="S18" s="875">
        <f>+SUM('Demanda Trafo A'!W6:W7)</f>
        <v>1.2716200000000002</v>
      </c>
      <c r="T18" s="876"/>
      <c r="U18" s="877"/>
    </row>
    <row r="19" spans="2:33" s="671" customFormat="1" ht="15" customHeight="1" x14ac:dyDescent="0.25">
      <c r="B19" s="2022" t="s">
        <v>1323</v>
      </c>
      <c r="C19" s="2022"/>
      <c r="D19" s="2022"/>
      <c r="E19" s="2022"/>
      <c r="F19" s="2022"/>
      <c r="G19" s="2022"/>
      <c r="H19" s="2022"/>
      <c r="I19" s="2022"/>
      <c r="J19" s="2022"/>
      <c r="K19" s="2022"/>
      <c r="L19" s="2022"/>
      <c r="M19" s="2022"/>
      <c r="N19" s="2022"/>
      <c r="O19" s="2022"/>
      <c r="P19" s="2022"/>
      <c r="Q19" s="2022"/>
      <c r="R19" s="2022"/>
      <c r="S19" s="875">
        <f>+'Demanda Trafo A'!Q10</f>
        <v>92.639442474226811</v>
      </c>
      <c r="T19" s="876">
        <f>+'Demanda Trafo A'!R10</f>
        <v>67.481089492774743</v>
      </c>
      <c r="U19" s="877">
        <f>+'Demanda Trafo A'!S10</f>
        <v>114.61</v>
      </c>
      <c r="V19" s="670"/>
      <c r="W19" s="670"/>
      <c r="X19" s="669"/>
      <c r="Y19" s="670"/>
      <c r="Z19" s="670"/>
      <c r="AA19" s="670"/>
      <c r="AB19" s="670"/>
      <c r="AC19" s="670"/>
      <c r="AD19" s="670"/>
      <c r="AE19" s="670"/>
      <c r="AF19" s="670"/>
      <c r="AG19" s="670"/>
    </row>
    <row r="20" spans="2:33" s="671" customFormat="1" ht="15" customHeight="1" x14ac:dyDescent="0.25">
      <c r="B20" s="2038" t="s">
        <v>1324</v>
      </c>
      <c r="C20" s="2038"/>
      <c r="D20" s="2038"/>
      <c r="E20" s="2038"/>
      <c r="F20" s="2038"/>
      <c r="G20" s="2038"/>
      <c r="H20" s="2038"/>
      <c r="I20" s="2038"/>
      <c r="J20" s="2038"/>
      <c r="K20" s="2038"/>
      <c r="L20" s="2038"/>
      <c r="M20" s="2038"/>
      <c r="N20" s="2038"/>
      <c r="O20" s="2038"/>
      <c r="P20" s="2038"/>
      <c r="Q20" s="2038"/>
      <c r="R20" s="2038"/>
      <c r="S20" s="2038"/>
      <c r="T20" s="2038"/>
      <c r="U20" s="878">
        <f>+'Demanda Trafo A'!S11</f>
        <v>0.80830156595608427</v>
      </c>
    </row>
    <row r="21" spans="2:33" ht="9.9" customHeight="1" x14ac:dyDescent="0.25">
      <c r="B21" s="869"/>
      <c r="C21" s="869"/>
      <c r="D21" s="870"/>
      <c r="E21" s="870"/>
      <c r="F21" s="870"/>
      <c r="G21" s="870"/>
      <c r="H21" s="870"/>
      <c r="I21" s="870"/>
      <c r="J21" s="870"/>
      <c r="K21" s="870"/>
      <c r="L21" s="870"/>
      <c r="M21" s="870"/>
      <c r="N21" s="870"/>
      <c r="O21" s="870"/>
      <c r="P21" s="870"/>
      <c r="Q21" s="870"/>
      <c r="R21" s="870"/>
      <c r="S21" s="870"/>
      <c r="T21" s="870"/>
      <c r="U21" s="870"/>
    </row>
    <row r="22" spans="2:33" ht="18" customHeight="1" x14ac:dyDescent="0.25">
      <c r="B22" s="2029" t="s">
        <v>1987</v>
      </c>
      <c r="C22" s="2029"/>
      <c r="D22" s="2029"/>
      <c r="E22" s="2029"/>
      <c r="F22" s="2029"/>
      <c r="G22" s="2029"/>
      <c r="H22" s="2029"/>
      <c r="I22" s="2029"/>
      <c r="J22" s="2029"/>
      <c r="K22" s="2029"/>
      <c r="L22" s="2029"/>
      <c r="M22" s="2029"/>
      <c r="N22" s="2029"/>
      <c r="O22" s="2029"/>
      <c r="P22" s="2029"/>
      <c r="Q22" s="2029"/>
      <c r="R22" s="2029"/>
      <c r="S22" s="2029"/>
      <c r="T22" s="2029"/>
      <c r="U22" s="2029"/>
    </row>
    <row r="23" spans="2:33" ht="13.8" x14ac:dyDescent="0.25">
      <c r="B23" s="2022" t="s">
        <v>1986</v>
      </c>
      <c r="C23" s="2022"/>
      <c r="D23" s="2022"/>
      <c r="E23" s="2022"/>
      <c r="F23" s="2022"/>
      <c r="G23" s="2022"/>
      <c r="H23" s="2022"/>
      <c r="I23" s="2022"/>
      <c r="J23" s="2022"/>
      <c r="K23" s="2022"/>
      <c r="L23" s="2022"/>
      <c r="M23" s="2022"/>
      <c r="N23" s="2022"/>
      <c r="O23" s="2022"/>
      <c r="P23" s="2022"/>
      <c r="Q23" s="2022"/>
      <c r="R23" s="2022"/>
      <c r="S23" s="2022"/>
      <c r="T23" s="2037">
        <f>U19/(480*SQRT(3))*1000</f>
        <v>137.85440489963128</v>
      </c>
      <c r="U23" s="2037"/>
    </row>
    <row r="24" spans="2:33" ht="13.8" x14ac:dyDescent="0.25">
      <c r="B24" s="2022" t="s">
        <v>1333</v>
      </c>
      <c r="C24" s="2022"/>
      <c r="D24" s="2022"/>
      <c r="E24" s="2022"/>
      <c r="F24" s="2022"/>
      <c r="G24" s="2022"/>
      <c r="H24" s="2022"/>
      <c r="I24" s="2022"/>
      <c r="J24" s="2022"/>
      <c r="K24" s="2022"/>
      <c r="L24" s="2022"/>
      <c r="M24" s="2022"/>
      <c r="N24" s="2022"/>
      <c r="O24" s="2022"/>
      <c r="P24" s="2022"/>
      <c r="Q24" s="2022"/>
      <c r="R24" s="2022"/>
      <c r="S24" s="2022"/>
      <c r="T24" s="2037">
        <f>T23*1.25</f>
        <v>172.3180061245391</v>
      </c>
      <c r="U24" s="2037"/>
    </row>
    <row r="25" spans="2:33" ht="13.8" x14ac:dyDescent="0.25">
      <c r="B25" s="2022" t="s">
        <v>2003</v>
      </c>
      <c r="C25" s="2022"/>
      <c r="D25" s="2022"/>
      <c r="E25" s="2022"/>
      <c r="F25" s="2022"/>
      <c r="G25" s="2022"/>
      <c r="H25" s="2022"/>
      <c r="I25" s="2022"/>
      <c r="J25" s="2022"/>
      <c r="K25" s="2022"/>
      <c r="L25" s="2022"/>
      <c r="M25" s="2022"/>
      <c r="N25" s="2022"/>
      <c r="O25" s="2022"/>
      <c r="P25" s="2022"/>
      <c r="Q25" s="2022"/>
      <c r="R25" s="2022"/>
      <c r="S25" s="2022"/>
      <c r="T25" s="2032">
        <f>T24</f>
        <v>172.3180061245391</v>
      </c>
      <c r="U25" s="2032"/>
    </row>
    <row r="26" spans="2:33" ht="8.4" customHeight="1" x14ac:dyDescent="0.25">
      <c r="B26" s="684"/>
      <c r="V26" s="676"/>
      <c r="W26" s="676"/>
      <c r="X26" s="676"/>
      <c r="Y26" s="676"/>
      <c r="Z26" s="676"/>
    </row>
    <row r="27" spans="2:33" ht="30.75" customHeight="1" x14ac:dyDescent="0.25">
      <c r="B27" s="1335" t="s">
        <v>1335</v>
      </c>
      <c r="C27" s="2040" t="str">
        <f>"TABLERO DE BAJA TENSIÓN " &amp;Longitudes!C10</f>
        <v>TABLERO DE BAJA TENSIÓN TBT08</v>
      </c>
      <c r="D27" s="2040"/>
      <c r="E27" s="2040"/>
      <c r="F27" s="2040"/>
      <c r="G27" s="2040"/>
      <c r="H27" s="2040"/>
      <c r="I27" s="2040"/>
      <c r="J27" s="2040"/>
      <c r="K27" s="2040"/>
      <c r="L27" s="2040"/>
      <c r="M27" s="2040"/>
      <c r="N27" s="2040"/>
      <c r="O27" s="2040"/>
      <c r="P27" s="2040"/>
      <c r="Q27" s="2040"/>
      <c r="R27" s="2040"/>
      <c r="S27" s="2040"/>
      <c r="T27" s="2040"/>
      <c r="U27" s="2040"/>
    </row>
    <row r="28" spans="2:33" ht="50.25" customHeight="1" x14ac:dyDescent="0.25">
      <c r="B28" s="2041" t="s">
        <v>1300</v>
      </c>
      <c r="C28" s="2042" t="s">
        <v>1301</v>
      </c>
      <c r="D28" s="2042" t="s">
        <v>1302</v>
      </c>
      <c r="E28" s="2042"/>
      <c r="F28" s="2043" t="s">
        <v>1303</v>
      </c>
      <c r="G28" s="2042" t="s">
        <v>1304</v>
      </c>
      <c r="H28" s="2042"/>
      <c r="I28" s="2042"/>
      <c r="J28" s="2043" t="s">
        <v>1305</v>
      </c>
      <c r="K28" s="2043"/>
      <c r="L28" s="2043" t="s">
        <v>1306</v>
      </c>
      <c r="M28" s="2043" t="s">
        <v>1307</v>
      </c>
      <c r="N28" s="2043" t="s">
        <v>1308</v>
      </c>
      <c r="O28" s="1334" t="s">
        <v>1309</v>
      </c>
      <c r="P28" s="1334" t="s">
        <v>1310</v>
      </c>
      <c r="Q28" s="1334" t="s">
        <v>1311</v>
      </c>
      <c r="R28" s="1334" t="s">
        <v>1966</v>
      </c>
      <c r="S28" s="2042" t="s">
        <v>1312</v>
      </c>
      <c r="T28" s="2042"/>
      <c r="U28" s="2042"/>
    </row>
    <row r="29" spans="2:33" ht="37.5" customHeight="1" x14ac:dyDescent="0.4">
      <c r="B29" s="2041"/>
      <c r="C29" s="2042"/>
      <c r="D29" s="2042"/>
      <c r="E29" s="2042"/>
      <c r="F29" s="2043"/>
      <c r="G29" s="1333" t="s">
        <v>108</v>
      </c>
      <c r="H29" s="1333" t="s">
        <v>1313</v>
      </c>
      <c r="I29" s="1333" t="s">
        <v>1314</v>
      </c>
      <c r="J29" s="1334" t="s">
        <v>1315</v>
      </c>
      <c r="K29" s="1333" t="s">
        <v>1316</v>
      </c>
      <c r="L29" s="2043"/>
      <c r="M29" s="2043"/>
      <c r="N29" s="2043"/>
      <c r="O29" s="1333" t="s">
        <v>1317</v>
      </c>
      <c r="P29" s="1333" t="s">
        <v>1317</v>
      </c>
      <c r="Q29" s="1333" t="s">
        <v>1317</v>
      </c>
      <c r="R29" s="1333" t="s">
        <v>636</v>
      </c>
      <c r="S29" s="1333" t="s">
        <v>1318</v>
      </c>
      <c r="T29" s="1333" t="s">
        <v>1319</v>
      </c>
      <c r="U29" s="1333" t="s">
        <v>1320</v>
      </c>
      <c r="V29" s="668"/>
      <c r="W29" s="668"/>
      <c r="X29" s="668"/>
      <c r="Y29" s="668"/>
      <c r="Z29" s="668"/>
      <c r="AA29" s="668"/>
      <c r="AB29" s="668"/>
      <c r="AC29" s="668"/>
      <c r="AD29" s="668"/>
      <c r="AE29" s="668"/>
      <c r="AF29" s="668"/>
      <c r="AG29" s="668"/>
    </row>
    <row r="30" spans="2:33" ht="15.75" customHeight="1" x14ac:dyDescent="0.4">
      <c r="B30" s="2047" t="s">
        <v>1321</v>
      </c>
      <c r="C30" s="2047"/>
      <c r="D30" s="2047"/>
      <c r="E30" s="2047"/>
      <c r="F30" s="2047"/>
      <c r="G30" s="2047"/>
      <c r="H30" s="2047"/>
      <c r="I30" s="2047"/>
      <c r="J30" s="2047"/>
      <c r="K30" s="2047"/>
      <c r="L30" s="2047"/>
      <c r="M30" s="2047"/>
      <c r="N30" s="2047"/>
      <c r="O30" s="2047"/>
      <c r="P30" s="2047"/>
      <c r="Q30" s="2047"/>
      <c r="R30" s="2047"/>
      <c r="S30" s="2047"/>
      <c r="T30" s="2047"/>
      <c r="U30" s="2047"/>
      <c r="V30" s="668"/>
      <c r="W30" s="668"/>
      <c r="X30" s="668"/>
      <c r="Y30" s="668"/>
      <c r="Z30" s="668"/>
      <c r="AA30" s="668"/>
      <c r="AB30" s="668"/>
      <c r="AC30" s="668"/>
      <c r="AD30" s="668"/>
      <c r="AE30" s="668"/>
      <c r="AF30" s="668"/>
      <c r="AG30" s="668"/>
    </row>
    <row r="31" spans="2:33" s="671" customFormat="1" ht="32.4" customHeight="1" x14ac:dyDescent="0.25">
      <c r="B31" s="874" t="s">
        <v>1349</v>
      </c>
      <c r="C31" s="1336" t="str">
        <f>'Demanda Trafo A'!B19</f>
        <v>TBT-DT-97</v>
      </c>
      <c r="D31" s="2021" t="str">
        <f>'Demanda Trafo A'!C19</f>
        <v>TABLERO DE DISTRIBUCIÓN LOC DT-58</v>
      </c>
      <c r="E31" s="2021"/>
      <c r="F31" s="1418">
        <f>'Demanda Trafo A'!E19</f>
        <v>140</v>
      </c>
      <c r="G31" s="1418" t="str">
        <f>'Demanda Trafo A'!F19</f>
        <v>AC</v>
      </c>
      <c r="H31" s="1418">
        <f>'Demanda Trafo A'!G19</f>
        <v>480</v>
      </c>
      <c r="I31" s="1418" t="str">
        <f>'Demanda Trafo A'!H19</f>
        <v>3 Fases</v>
      </c>
      <c r="J31" s="1337">
        <f>'Demanda Trafo A'!I19</f>
        <v>104.44</v>
      </c>
      <c r="K31" s="1418" t="str">
        <f>'Demanda Trafo A'!J19</f>
        <v>kW</v>
      </c>
      <c r="L31" s="1339">
        <f>'Demanda Trafo A'!K19</f>
        <v>0.8</v>
      </c>
      <c r="M31" s="1339">
        <f>'Demanda Trafo A'!K19</f>
        <v>0.8</v>
      </c>
      <c r="N31" s="1339">
        <f>'Demanda Trafo A'!Z19</f>
        <v>0.98893635286829751</v>
      </c>
      <c r="O31" s="1339" t="s">
        <v>589</v>
      </c>
      <c r="P31" s="1339" t="s">
        <v>589</v>
      </c>
      <c r="Q31" s="1339" t="s">
        <v>589</v>
      </c>
      <c r="R31" s="1339">
        <f>'Demanda Trafo A'!Y19</f>
        <v>2.7220399999999998</v>
      </c>
      <c r="S31" s="1339">
        <f>'Demanda Trafo A'!Q19</f>
        <v>92.639442474226811</v>
      </c>
      <c r="T31" s="1339">
        <f>'Demanda Trafo A'!R19</f>
        <v>67.481089492774743</v>
      </c>
      <c r="U31" s="1339">
        <f>'Demanda Trafo A'!S19</f>
        <v>114.61</v>
      </c>
      <c r="V31" s="669"/>
      <c r="W31" s="670"/>
      <c r="X31" s="670"/>
      <c r="Y31" s="670"/>
      <c r="Z31" s="670"/>
      <c r="AA31" s="670"/>
      <c r="AB31" s="670"/>
      <c r="AC31" s="670"/>
      <c r="AD31" s="670"/>
      <c r="AE31" s="670"/>
      <c r="AF31" s="670"/>
      <c r="AG31" s="670"/>
    </row>
    <row r="32" spans="2:33" s="671" customFormat="1" ht="36" hidden="1" customHeight="1" x14ac:dyDescent="0.25">
      <c r="B32" s="874" t="str">
        <f>+_xlfn.CONCAT("6.1.",SUBTOTAL(103,$C$12:C32))</f>
        <v>6.1.5</v>
      </c>
      <c r="C32" s="874">
        <f>'Demanda Trafo A'!B58</f>
        <v>0</v>
      </c>
      <c r="D32" s="2021">
        <f>+'Demanda Trafo A'!C58</f>
        <v>0</v>
      </c>
      <c r="E32" s="2021"/>
      <c r="F32" s="1340">
        <f>+'Demanda Trafo A'!E58</f>
        <v>0</v>
      </c>
      <c r="G32" s="874">
        <f>+'Demanda Trafo A'!F58</f>
        <v>0</v>
      </c>
      <c r="H32" s="874">
        <f>+'Demanda Trafo A'!P58</f>
        <v>0</v>
      </c>
      <c r="I32" s="874">
        <f>+'Demanda Trafo A'!H58</f>
        <v>0</v>
      </c>
      <c r="J32" s="1337">
        <f>+'Demanda Trafo A'!I58</f>
        <v>0</v>
      </c>
      <c r="K32" s="1338">
        <f>+'Demanda Trafo A'!J58</f>
        <v>0</v>
      </c>
      <c r="L32" s="1339">
        <f>+'Demanda Trafo A'!K58</f>
        <v>0</v>
      </c>
      <c r="M32" s="1339">
        <f>+'Demanda Trafo A'!N58</f>
        <v>0</v>
      </c>
      <c r="N32" s="1339">
        <f>+'Demanda Trafo A'!Z58</f>
        <v>0</v>
      </c>
      <c r="O32" s="1339">
        <f>+'Demanda Trafo A'!O58</f>
        <v>0</v>
      </c>
      <c r="P32" s="1339">
        <f>+'Demanda Trafo A'!T58</f>
        <v>0</v>
      </c>
      <c r="Q32" s="1339">
        <f>+'Demanda Trafo A'!U58</f>
        <v>0</v>
      </c>
      <c r="R32" s="1341">
        <f>+'Demanda Trafo A'!V58</f>
        <v>0</v>
      </c>
      <c r="S32" s="1339">
        <f>+'Demanda Trafo A'!Q58</f>
        <v>0</v>
      </c>
      <c r="T32" s="1339">
        <f>+'Demanda Trafo A'!R58</f>
        <v>0</v>
      </c>
      <c r="U32" s="1339">
        <f>+'Demanda Trafo A'!S58</f>
        <v>0</v>
      </c>
      <c r="V32" s="669"/>
      <c r="W32" s="670"/>
      <c r="X32" s="670"/>
      <c r="Y32" s="670"/>
      <c r="Z32" s="670"/>
      <c r="AA32" s="670"/>
      <c r="AB32" s="670"/>
      <c r="AC32" s="670"/>
      <c r="AD32" s="670"/>
      <c r="AE32" s="670"/>
      <c r="AF32" s="670"/>
      <c r="AG32" s="670"/>
    </row>
    <row r="33" spans="2:33" ht="8.4" customHeight="1" x14ac:dyDescent="0.4">
      <c r="B33" s="864"/>
      <c r="C33" s="864"/>
      <c r="D33" s="865"/>
      <c r="E33" s="865"/>
      <c r="F33" s="864"/>
      <c r="G33" s="864"/>
      <c r="H33" s="864"/>
      <c r="I33" s="864"/>
      <c r="J33" s="864"/>
      <c r="K33" s="864"/>
      <c r="L33" s="866"/>
      <c r="M33" s="866"/>
      <c r="N33" s="866"/>
      <c r="O33" s="866"/>
      <c r="P33" s="867"/>
      <c r="Q33" s="867"/>
      <c r="R33" s="868"/>
      <c r="S33" s="866"/>
      <c r="T33" s="866"/>
      <c r="U33" s="866"/>
      <c r="V33" s="668"/>
      <c r="W33" s="668"/>
      <c r="X33" s="668"/>
      <c r="Y33" s="668"/>
      <c r="Z33" s="668"/>
      <c r="AA33" s="668"/>
      <c r="AB33" s="668"/>
      <c r="AC33" s="668"/>
      <c r="AD33" s="668"/>
      <c r="AE33" s="668"/>
      <c r="AF33" s="668"/>
      <c r="AG33" s="668"/>
    </row>
    <row r="34" spans="2:33" s="671" customFormat="1" ht="15" customHeight="1" x14ac:dyDescent="0.25">
      <c r="B34" s="2022" t="s">
        <v>2036</v>
      </c>
      <c r="C34" s="2022"/>
      <c r="D34" s="2022"/>
      <c r="E34" s="2022"/>
      <c r="F34" s="2022"/>
      <c r="G34" s="2022"/>
      <c r="H34" s="2022"/>
      <c r="I34" s="2022"/>
      <c r="J34" s="2022"/>
      <c r="K34" s="2022"/>
      <c r="L34" s="2022"/>
      <c r="M34" s="2022"/>
      <c r="N34" s="2022"/>
      <c r="O34" s="2022"/>
      <c r="P34" s="2022"/>
      <c r="Q34" s="2022"/>
      <c r="R34" s="2022"/>
      <c r="S34" s="875">
        <f>R31</f>
        <v>2.7220399999999998</v>
      </c>
      <c r="T34" s="876"/>
      <c r="U34" s="877"/>
    </row>
    <row r="35" spans="2:33" s="671" customFormat="1" ht="15" hidden="1" customHeight="1" x14ac:dyDescent="0.25">
      <c r="B35" s="2022" t="s">
        <v>1322</v>
      </c>
      <c r="C35" s="2022"/>
      <c r="D35" s="2022"/>
      <c r="E35" s="2022"/>
      <c r="F35" s="2022"/>
      <c r="G35" s="2022"/>
      <c r="H35" s="2022"/>
      <c r="I35" s="2022"/>
      <c r="J35" s="2022"/>
      <c r="K35" s="2022"/>
      <c r="L35" s="2022"/>
      <c r="M35" s="2022"/>
      <c r="N35" s="2022"/>
      <c r="O35" s="2022"/>
      <c r="P35" s="2022"/>
      <c r="Q35" s="2022"/>
      <c r="R35" s="2022"/>
      <c r="S35" s="875">
        <f>+SUM('Demanda Trafo A'!W14:W54)</f>
        <v>3.45</v>
      </c>
      <c r="T35" s="876"/>
      <c r="U35" s="877"/>
    </row>
    <row r="36" spans="2:33" s="671" customFormat="1" ht="15" customHeight="1" x14ac:dyDescent="0.25">
      <c r="B36" s="2022" t="s">
        <v>1323</v>
      </c>
      <c r="C36" s="2022"/>
      <c r="D36" s="2022"/>
      <c r="E36" s="2022"/>
      <c r="F36" s="2022"/>
      <c r="G36" s="2022"/>
      <c r="H36" s="2022"/>
      <c r="I36" s="2022"/>
      <c r="J36" s="2022"/>
      <c r="K36" s="2022"/>
      <c r="L36" s="2022"/>
      <c r="M36" s="2022"/>
      <c r="N36" s="2022"/>
      <c r="O36" s="2022"/>
      <c r="P36" s="2022"/>
      <c r="Q36" s="2022"/>
      <c r="R36" s="2022"/>
      <c r="S36" s="875">
        <f>SUM(S31+S34)</f>
        <v>95.361482474226818</v>
      </c>
      <c r="T36" s="876">
        <f>T31</f>
        <v>67.481089492774743</v>
      </c>
      <c r="U36" s="877">
        <f>+'Demanda Trafo A'!S22</f>
        <v>116.82</v>
      </c>
      <c r="V36" s="670"/>
      <c r="W36" s="670"/>
      <c r="X36" s="669"/>
      <c r="Y36" s="670"/>
      <c r="Z36" s="670"/>
      <c r="AA36" s="670"/>
      <c r="AB36" s="670"/>
      <c r="AC36" s="670"/>
      <c r="AD36" s="670"/>
      <c r="AE36" s="670"/>
      <c r="AF36" s="670"/>
      <c r="AG36" s="670"/>
    </row>
    <row r="37" spans="2:33" s="671" customFormat="1" ht="15" customHeight="1" x14ac:dyDescent="0.25">
      <c r="B37" s="2038" t="s">
        <v>1324</v>
      </c>
      <c r="C37" s="2038"/>
      <c r="D37" s="2038"/>
      <c r="E37" s="2038"/>
      <c r="F37" s="2038"/>
      <c r="G37" s="2038"/>
      <c r="H37" s="2038"/>
      <c r="I37" s="2038"/>
      <c r="J37" s="2038"/>
      <c r="K37" s="2038"/>
      <c r="L37" s="2038"/>
      <c r="M37" s="2038"/>
      <c r="N37" s="2038"/>
      <c r="O37" s="2038"/>
      <c r="P37" s="2038"/>
      <c r="Q37" s="2038"/>
      <c r="R37" s="2038"/>
      <c r="S37" s="2038"/>
      <c r="T37" s="2038"/>
      <c r="U37" s="878">
        <f>+'Demanda Trafo A'!S23</f>
        <v>0.81631126925378206</v>
      </c>
    </row>
    <row r="38" spans="2:33" ht="9.9" customHeight="1" x14ac:dyDescent="0.25">
      <c r="B38" s="869"/>
      <c r="C38" s="869"/>
      <c r="D38" s="870"/>
      <c r="E38" s="870"/>
      <c r="F38" s="870"/>
      <c r="G38" s="870"/>
      <c r="H38" s="870"/>
      <c r="I38" s="870"/>
      <c r="J38" s="870"/>
      <c r="K38" s="870"/>
      <c r="L38" s="870"/>
      <c r="M38" s="870"/>
      <c r="N38" s="870"/>
      <c r="O38" s="870"/>
      <c r="P38" s="870"/>
      <c r="Q38" s="870"/>
      <c r="R38" s="870"/>
      <c r="S38" s="870"/>
      <c r="T38" s="870"/>
      <c r="U38" s="870"/>
    </row>
    <row r="39" spans="2:33" ht="18" customHeight="1" x14ac:dyDescent="0.25">
      <c r="B39" s="2029" t="s">
        <v>1988</v>
      </c>
      <c r="C39" s="2029"/>
      <c r="D39" s="2029"/>
      <c r="E39" s="2029"/>
      <c r="F39" s="2029"/>
      <c r="G39" s="2029"/>
      <c r="H39" s="2029"/>
      <c r="I39" s="2029"/>
      <c r="J39" s="2029"/>
      <c r="K39" s="2029"/>
      <c r="L39" s="2029"/>
      <c r="M39" s="2029"/>
      <c r="N39" s="2029"/>
      <c r="O39" s="2029"/>
      <c r="P39" s="2029"/>
      <c r="Q39" s="2029"/>
      <c r="R39" s="2029"/>
      <c r="S39" s="2029"/>
      <c r="T39" s="2029"/>
      <c r="U39" s="2029"/>
    </row>
    <row r="40" spans="2:33" ht="13.8" x14ac:dyDescent="0.25">
      <c r="B40" s="2022" t="s">
        <v>1986</v>
      </c>
      <c r="C40" s="2022"/>
      <c r="D40" s="2022"/>
      <c r="E40" s="2022"/>
      <c r="F40" s="2022"/>
      <c r="G40" s="2022"/>
      <c r="H40" s="2022"/>
      <c r="I40" s="2022"/>
      <c r="J40" s="2022"/>
      <c r="K40" s="2022"/>
      <c r="L40" s="2022"/>
      <c r="M40" s="2022"/>
      <c r="N40" s="2022"/>
      <c r="O40" s="2022"/>
      <c r="P40" s="2022"/>
      <c r="Q40" s="2022"/>
      <c r="R40" s="2022"/>
      <c r="S40" s="2022"/>
      <c r="T40" s="2037">
        <f>U36/(480*SQRT(3))*1000</f>
        <v>140.51262176402517</v>
      </c>
      <c r="U40" s="2037"/>
    </row>
    <row r="41" spans="2:33" ht="13.8" x14ac:dyDescent="0.25">
      <c r="B41" s="2022" t="s">
        <v>1333</v>
      </c>
      <c r="C41" s="2022"/>
      <c r="D41" s="2022"/>
      <c r="E41" s="2022"/>
      <c r="F41" s="2022"/>
      <c r="G41" s="2022"/>
      <c r="H41" s="2022"/>
      <c r="I41" s="2022"/>
      <c r="J41" s="2022"/>
      <c r="K41" s="2022"/>
      <c r="L41" s="2022"/>
      <c r="M41" s="2022"/>
      <c r="N41" s="2022"/>
      <c r="O41" s="2022"/>
      <c r="P41" s="2022"/>
      <c r="Q41" s="2022"/>
      <c r="R41" s="2022"/>
      <c r="S41" s="2022"/>
      <c r="T41" s="2037">
        <f>T40*1.25</f>
        <v>175.64077720503147</v>
      </c>
      <c r="U41" s="2037"/>
    </row>
    <row r="42" spans="2:33" ht="13.8" x14ac:dyDescent="0.25">
      <c r="B42" s="2022" t="s">
        <v>1643</v>
      </c>
      <c r="C42" s="2022"/>
      <c r="D42" s="2022"/>
      <c r="E42" s="2022"/>
      <c r="F42" s="2022"/>
      <c r="G42" s="2022"/>
      <c r="H42" s="2022"/>
      <c r="I42" s="2022"/>
      <c r="J42" s="2022"/>
      <c r="K42" s="2022"/>
      <c r="L42" s="2022"/>
      <c r="M42" s="2022"/>
      <c r="N42" s="2022"/>
      <c r="O42" s="2022"/>
      <c r="P42" s="2022"/>
      <c r="Q42" s="2022"/>
      <c r="R42" s="2022"/>
      <c r="S42" s="2022"/>
      <c r="T42" s="2032">
        <f>T41</f>
        <v>175.64077720503147</v>
      </c>
      <c r="U42" s="2032"/>
    </row>
    <row r="43" spans="2:33" ht="14.1" customHeight="1" x14ac:dyDescent="0.25">
      <c r="B43" s="684"/>
      <c r="V43" s="676"/>
      <c r="W43" s="676"/>
      <c r="X43" s="676"/>
      <c r="Y43" s="676"/>
      <c r="Z43" s="676"/>
    </row>
    <row r="44" spans="2:33" ht="24.75" customHeight="1" x14ac:dyDescent="0.25">
      <c r="B44" s="2029" t="s">
        <v>1325</v>
      </c>
      <c r="C44" s="2029"/>
      <c r="D44" s="2029"/>
      <c r="E44" s="2029"/>
      <c r="F44" s="2029"/>
      <c r="G44" s="2029"/>
      <c r="H44" s="2029"/>
      <c r="I44" s="2029"/>
      <c r="J44" s="2029"/>
      <c r="K44" s="2029"/>
      <c r="L44" s="2029"/>
      <c r="M44" s="2029"/>
      <c r="N44" s="2029"/>
      <c r="O44" s="2029"/>
      <c r="P44" s="2029"/>
      <c r="Q44" s="2029"/>
      <c r="R44" s="2029"/>
      <c r="S44" s="2029"/>
      <c r="T44" s="2029"/>
      <c r="U44" s="2029"/>
    </row>
    <row r="45" spans="2:33" ht="13.8" x14ac:dyDescent="0.25">
      <c r="B45" s="2022" t="s">
        <v>1326</v>
      </c>
      <c r="C45" s="2022"/>
      <c r="D45" s="2022"/>
      <c r="E45" s="2022"/>
      <c r="F45" s="2022"/>
      <c r="G45" s="2022"/>
      <c r="H45" s="2022"/>
      <c r="I45" s="2022"/>
      <c r="J45" s="2022"/>
      <c r="K45" s="2022"/>
      <c r="L45" s="2022"/>
      <c r="M45" s="2022"/>
      <c r="N45" s="2022"/>
      <c r="O45" s="2022"/>
      <c r="P45" s="2022"/>
      <c r="Q45" s="2022"/>
      <c r="R45" s="2022"/>
      <c r="S45" s="2022"/>
      <c r="T45" s="2039">
        <v>225</v>
      </c>
      <c r="U45" s="2039"/>
    </row>
    <row r="46" spans="2:33" ht="13.8" x14ac:dyDescent="0.25">
      <c r="B46" s="2022" t="s">
        <v>1327</v>
      </c>
      <c r="C46" s="2022"/>
      <c r="D46" s="2022"/>
      <c r="E46" s="2022"/>
      <c r="F46" s="2022"/>
      <c r="G46" s="2022"/>
      <c r="H46" s="2022"/>
      <c r="I46" s="2022"/>
      <c r="J46" s="2022"/>
      <c r="K46" s="2022"/>
      <c r="L46" s="2022"/>
      <c r="M46" s="2022"/>
      <c r="N46" s="2022"/>
      <c r="O46" s="2022"/>
      <c r="P46" s="2022"/>
      <c r="Q46" s="2022"/>
      <c r="R46" s="2022"/>
      <c r="S46" s="2022"/>
      <c r="T46" s="2039">
        <f>T45-'Demanda Trafo A'!S33</f>
        <v>104.94</v>
      </c>
      <c r="U46" s="2039"/>
    </row>
    <row r="47" spans="2:33" ht="13.8" x14ac:dyDescent="0.25">
      <c r="B47" s="2022" t="s">
        <v>1328</v>
      </c>
      <c r="C47" s="2022"/>
      <c r="D47" s="2022"/>
      <c r="E47" s="2022"/>
      <c r="F47" s="2022"/>
      <c r="G47" s="2022"/>
      <c r="H47" s="2022"/>
      <c r="I47" s="2022"/>
      <c r="J47" s="2022"/>
      <c r="K47" s="2022"/>
      <c r="L47" s="2022"/>
      <c r="M47" s="2022"/>
      <c r="N47" s="2022"/>
      <c r="O47" s="2022"/>
      <c r="P47" s="2022"/>
      <c r="Q47" s="2022"/>
      <c r="R47" s="2022"/>
      <c r="S47" s="2022"/>
      <c r="T47" s="2033">
        <f>T46/T45</f>
        <v>0.46639999999999998</v>
      </c>
      <c r="U47" s="2033"/>
    </row>
    <row r="48" spans="2:33" s="673" customFormat="1" ht="6" customHeight="1" x14ac:dyDescent="0.25">
      <c r="B48" s="1419"/>
      <c r="C48" s="872"/>
      <c r="D48" s="872"/>
      <c r="E48" s="872"/>
      <c r="F48" s="872"/>
      <c r="G48" s="872"/>
      <c r="H48" s="872"/>
      <c r="I48" s="872"/>
      <c r="J48" s="872"/>
      <c r="K48" s="872"/>
      <c r="L48" s="872"/>
      <c r="M48" s="872"/>
      <c r="N48" s="872"/>
      <c r="O48" s="872"/>
      <c r="P48" s="872"/>
      <c r="Q48" s="872"/>
      <c r="R48" s="872"/>
      <c r="S48" s="872"/>
      <c r="T48" s="873"/>
      <c r="U48" s="873"/>
      <c r="V48" s="672"/>
    </row>
    <row r="49" spans="2:26" s="673" customFormat="1" ht="18" hidden="1" customHeight="1" x14ac:dyDescent="0.25">
      <c r="B49" s="2034" t="s">
        <v>1329</v>
      </c>
      <c r="C49" s="2035"/>
      <c r="D49" s="2035"/>
      <c r="E49" s="2035"/>
      <c r="F49" s="2035"/>
      <c r="G49" s="2035"/>
      <c r="H49" s="2035"/>
      <c r="I49" s="2035"/>
      <c r="J49" s="2035"/>
      <c r="K49" s="2035"/>
      <c r="L49" s="2035"/>
      <c r="M49" s="2035"/>
      <c r="N49" s="2035"/>
      <c r="O49" s="2035"/>
      <c r="P49" s="2035"/>
      <c r="Q49" s="2035"/>
      <c r="R49" s="2035"/>
      <c r="S49" s="2035"/>
      <c r="T49" s="2035"/>
      <c r="U49" s="2035"/>
      <c r="V49" s="672"/>
    </row>
    <row r="50" spans="2:26" s="673" customFormat="1" ht="13.8" hidden="1" x14ac:dyDescent="0.25">
      <c r="B50" s="2022" t="s">
        <v>1330</v>
      </c>
      <c r="C50" s="2022"/>
      <c r="D50" s="2022"/>
      <c r="E50" s="2022"/>
      <c r="F50" s="2022"/>
      <c r="G50" s="2022"/>
      <c r="H50" s="2022"/>
      <c r="I50" s="2022"/>
      <c r="J50" s="2022"/>
      <c r="K50" s="2022"/>
      <c r="L50" s="2022"/>
      <c r="M50" s="2022"/>
      <c r="N50" s="2022"/>
      <c r="O50" s="2022"/>
      <c r="P50" s="2022"/>
      <c r="Q50" s="2022"/>
      <c r="R50" s="2022"/>
      <c r="S50" s="2022"/>
      <c r="T50" s="2036" t="e">
        <v>#REF!</v>
      </c>
      <c r="U50" s="2036"/>
      <c r="V50" s="672"/>
    </row>
    <row r="51" spans="2:26" ht="13.8" hidden="1" x14ac:dyDescent="0.25">
      <c r="B51" s="2022" t="s">
        <v>1331</v>
      </c>
      <c r="C51" s="2022"/>
      <c r="D51" s="2022"/>
      <c r="E51" s="2022"/>
      <c r="F51" s="2022"/>
      <c r="G51" s="2022"/>
      <c r="H51" s="2022"/>
      <c r="I51" s="2022"/>
      <c r="J51" s="2022"/>
      <c r="K51" s="2022"/>
      <c r="L51" s="2022"/>
      <c r="M51" s="2022"/>
      <c r="N51" s="2022"/>
      <c r="O51" s="2022"/>
      <c r="P51" s="2022"/>
      <c r="Q51" s="2022"/>
      <c r="R51" s="2022"/>
      <c r="S51" s="2022"/>
      <c r="T51" s="2036" t="e">
        <v>#REF!</v>
      </c>
      <c r="U51" s="2036"/>
    </row>
    <row r="52" spans="2:26" ht="13.8" hidden="1" x14ac:dyDescent="0.25">
      <c r="B52" s="871"/>
      <c r="C52" s="872"/>
      <c r="D52" s="872"/>
      <c r="E52" s="872"/>
      <c r="F52" s="872"/>
      <c r="G52" s="872"/>
      <c r="H52" s="872"/>
      <c r="I52" s="872"/>
      <c r="J52" s="872"/>
      <c r="K52" s="872"/>
      <c r="L52" s="872"/>
      <c r="M52" s="872"/>
      <c r="N52" s="872"/>
      <c r="O52" s="872"/>
      <c r="P52" s="872"/>
      <c r="Q52" s="872"/>
      <c r="R52" s="872"/>
      <c r="S52" s="872"/>
      <c r="T52" s="873"/>
      <c r="U52" s="873"/>
    </row>
    <row r="53" spans="2:26" ht="18" hidden="1" customHeight="1" x14ac:dyDescent="0.25">
      <c r="B53" s="2029" t="s">
        <v>1332</v>
      </c>
      <c r="C53" s="2029"/>
      <c r="D53" s="2029"/>
      <c r="E53" s="2029"/>
      <c r="F53" s="2029"/>
      <c r="G53" s="2029"/>
      <c r="H53" s="2029"/>
      <c r="I53" s="2029"/>
      <c r="J53" s="2029"/>
      <c r="K53" s="2029"/>
      <c r="L53" s="2029"/>
      <c r="M53" s="2029"/>
      <c r="N53" s="2029"/>
      <c r="O53" s="2029"/>
      <c r="P53" s="2029"/>
      <c r="Q53" s="2029"/>
      <c r="R53" s="2029"/>
      <c r="S53" s="2029"/>
      <c r="T53" s="2029"/>
      <c r="U53" s="2029"/>
    </row>
    <row r="54" spans="2:26" ht="13.8" hidden="1" x14ac:dyDescent="0.25">
      <c r="B54" s="2022" t="str">
        <f>+'Demanda Trafo A'!A50</f>
        <v>Corriente Nominal Transformador SDT</v>
      </c>
      <c r="C54" s="2022"/>
      <c r="D54" s="2022"/>
      <c r="E54" s="2022"/>
      <c r="F54" s="2022"/>
      <c r="G54" s="2022"/>
      <c r="H54" s="2022"/>
      <c r="I54" s="2022"/>
      <c r="J54" s="2022"/>
      <c r="K54" s="2022"/>
      <c r="L54" s="2022"/>
      <c r="M54" s="2022"/>
      <c r="N54" s="2022"/>
      <c r="O54" s="2022"/>
      <c r="P54" s="2022"/>
      <c r="Q54" s="2022"/>
      <c r="R54" s="2022"/>
      <c r="S54" s="2022"/>
      <c r="T54" s="2037" t="e">
        <f>+'Demanda Trafo A'!J50</f>
        <v>#REF!</v>
      </c>
      <c r="U54" s="2037"/>
    </row>
    <row r="55" spans="2:26" ht="13.8" hidden="1" x14ac:dyDescent="0.25">
      <c r="B55" s="2022" t="s">
        <v>1333</v>
      </c>
      <c r="C55" s="2022"/>
      <c r="D55" s="2022"/>
      <c r="E55" s="2022"/>
      <c r="F55" s="2022"/>
      <c r="G55" s="2022"/>
      <c r="H55" s="2022"/>
      <c r="I55" s="2022"/>
      <c r="J55" s="2022"/>
      <c r="K55" s="2022"/>
      <c r="L55" s="2022"/>
      <c r="M55" s="2022"/>
      <c r="N55" s="2022"/>
      <c r="O55" s="2022"/>
      <c r="P55" s="2022"/>
      <c r="Q55" s="2022"/>
      <c r="R55" s="2022"/>
      <c r="S55" s="2022"/>
      <c r="T55" s="2037" t="e">
        <f>+'Demanda Trafo A'!J51</f>
        <v>#REF!</v>
      </c>
      <c r="U55" s="2037"/>
    </row>
    <row r="56" spans="2:26" ht="13.8" hidden="1" x14ac:dyDescent="0.25">
      <c r="B56" s="2022" t="s">
        <v>1334</v>
      </c>
      <c r="C56" s="2022"/>
      <c r="D56" s="2022"/>
      <c r="E56" s="2022"/>
      <c r="F56" s="2022"/>
      <c r="G56" s="2022"/>
      <c r="H56" s="2022"/>
      <c r="I56" s="2022"/>
      <c r="J56" s="2022"/>
      <c r="K56" s="2022"/>
      <c r="L56" s="2022"/>
      <c r="M56" s="2022"/>
      <c r="N56" s="2022"/>
      <c r="O56" s="2022"/>
      <c r="P56" s="2022"/>
      <c r="Q56" s="2022"/>
      <c r="R56" s="2022"/>
      <c r="S56" s="2022"/>
      <c r="T56" s="2032">
        <v>1600</v>
      </c>
      <c r="U56" s="2032"/>
    </row>
    <row r="57" spans="2:26" ht="14.1" hidden="1" customHeight="1" x14ac:dyDescent="0.25">
      <c r="B57" s="684"/>
      <c r="V57" s="676"/>
      <c r="W57" s="676"/>
      <c r="X57" s="676"/>
      <c r="Y57" s="676"/>
      <c r="Z57" s="676"/>
    </row>
    <row r="58" spans="2:26" ht="15" hidden="1" customHeight="1" x14ac:dyDescent="0.25">
      <c r="B58" s="1335" t="s">
        <v>1335</v>
      </c>
      <c r="C58" s="2029" t="s">
        <v>1336</v>
      </c>
      <c r="D58" s="2029"/>
      <c r="E58" s="2029"/>
      <c r="F58" s="2029"/>
      <c r="G58" s="2029"/>
      <c r="H58" s="2029"/>
      <c r="I58" s="2029"/>
      <c r="J58" s="2029"/>
      <c r="K58" s="2029"/>
      <c r="L58" s="2029"/>
      <c r="M58" s="2029"/>
      <c r="N58" s="2029"/>
      <c r="O58" s="2029"/>
      <c r="P58" s="2029"/>
      <c r="Q58" s="2029"/>
      <c r="R58" s="2029"/>
      <c r="S58" s="2029"/>
      <c r="T58" s="2029"/>
      <c r="U58" s="2029"/>
    </row>
    <row r="59" spans="2:26" ht="15" hidden="1" customHeight="1" x14ac:dyDescent="0.25">
      <c r="B59" s="2041" t="s">
        <v>1300</v>
      </c>
      <c r="C59" s="2041" t="s">
        <v>1301</v>
      </c>
      <c r="D59" s="2041" t="s">
        <v>1</v>
      </c>
      <c r="E59" s="2041" t="s">
        <v>293</v>
      </c>
      <c r="F59" s="2050" t="s">
        <v>1337</v>
      </c>
      <c r="G59" s="2050"/>
      <c r="H59" s="2041" t="s">
        <v>1338</v>
      </c>
      <c r="I59" s="2041"/>
      <c r="J59" s="2041" t="s">
        <v>552</v>
      </c>
      <c r="K59" s="2041" t="s">
        <v>1339</v>
      </c>
      <c r="L59" s="2041"/>
      <c r="M59" s="2041"/>
      <c r="N59" s="2050" t="s">
        <v>1340</v>
      </c>
      <c r="O59" s="2050"/>
      <c r="P59" s="2050"/>
      <c r="Q59" s="2050"/>
      <c r="R59" s="2050" t="s">
        <v>1341</v>
      </c>
      <c r="S59" s="2050"/>
      <c r="T59" s="2050"/>
      <c r="U59" s="2050"/>
    </row>
    <row r="60" spans="2:26" ht="15" hidden="1" customHeight="1" x14ac:dyDescent="0.25">
      <c r="B60" s="2041"/>
      <c r="C60" s="2041"/>
      <c r="D60" s="2041"/>
      <c r="E60" s="2041"/>
      <c r="F60" s="2050"/>
      <c r="G60" s="2050"/>
      <c r="H60" s="2041"/>
      <c r="I60" s="2041"/>
      <c r="J60" s="2041"/>
      <c r="K60" s="2041"/>
      <c r="L60" s="2041"/>
      <c r="M60" s="2041"/>
      <c r="N60" s="2050"/>
      <c r="O60" s="2050"/>
      <c r="P60" s="2050"/>
      <c r="Q60" s="2050"/>
      <c r="R60" s="2050" t="s">
        <v>1342</v>
      </c>
      <c r="S60" s="2050"/>
      <c r="T60" s="2050" t="s">
        <v>1343</v>
      </c>
      <c r="U60" s="2050"/>
    </row>
    <row r="61" spans="2:26" ht="15" hidden="1" customHeight="1" x14ac:dyDescent="0.25">
      <c r="B61" s="2041"/>
      <c r="C61" s="2051"/>
      <c r="D61" s="2041"/>
      <c r="E61" s="2041"/>
      <c r="F61" s="2050"/>
      <c r="G61" s="2050"/>
      <c r="H61" s="2041"/>
      <c r="I61" s="2041"/>
      <c r="J61" s="1347" t="s">
        <v>1344</v>
      </c>
      <c r="K61" s="1347" t="s">
        <v>607</v>
      </c>
      <c r="L61" s="1347" t="s">
        <v>636</v>
      </c>
      <c r="M61" s="1347" t="s">
        <v>595</v>
      </c>
      <c r="N61" s="1346" t="s">
        <v>1345</v>
      </c>
      <c r="O61" s="1346" t="s">
        <v>1346</v>
      </c>
      <c r="P61" s="1346" t="s">
        <v>1347</v>
      </c>
      <c r="Q61" s="1346" t="s">
        <v>1348</v>
      </c>
      <c r="R61" s="1347" t="s">
        <v>636</v>
      </c>
      <c r="S61" s="1346" t="s">
        <v>595</v>
      </c>
      <c r="T61" s="1347" t="s">
        <v>636</v>
      </c>
      <c r="U61" s="1346" t="s">
        <v>595</v>
      </c>
    </row>
    <row r="62" spans="2:26" ht="27.6" hidden="1" x14ac:dyDescent="0.25">
      <c r="B62" s="1348" t="s">
        <v>1349</v>
      </c>
      <c r="C62" s="1349" t="s">
        <v>1951</v>
      </c>
      <c r="D62" s="1349" t="s">
        <v>1952</v>
      </c>
      <c r="E62" s="1387" t="s">
        <v>1370</v>
      </c>
      <c r="F62" s="2052" t="s">
        <v>1342</v>
      </c>
      <c r="G62" s="2052"/>
      <c r="H62" s="2052" t="s">
        <v>1351</v>
      </c>
      <c r="I62" s="2052"/>
      <c r="J62" s="1350">
        <v>120</v>
      </c>
      <c r="K62" s="1351" t="s">
        <v>1352</v>
      </c>
      <c r="L62" s="1352">
        <v>0.2</v>
      </c>
      <c r="M62" s="1353">
        <f t="shared" ref="M62" si="0">+L62/Q62</f>
        <v>0.22222222222222224</v>
      </c>
      <c r="N62" s="1351">
        <v>1</v>
      </c>
      <c r="O62" s="1351">
        <v>0.2</v>
      </c>
      <c r="P62" s="1351">
        <v>1</v>
      </c>
      <c r="Q62" s="1351">
        <v>0.9</v>
      </c>
      <c r="R62" s="1351">
        <f t="shared" ref="R62" si="1">ROUND(IF(F62="RESERVA",0,IF(F62="CONTINUO",L62*N62*O62/P62,0)),2)</f>
        <v>0.04</v>
      </c>
      <c r="S62" s="1351">
        <f t="shared" ref="S62" si="2">ROUND((+R62/Q62),2)</f>
        <v>0.04</v>
      </c>
      <c r="T62" s="1351">
        <f t="shared" ref="T62" si="3">ROUND(IF(F62="RESERVA",0,IF(F62="INTERMITENTE",L62*N62*O62/P62,0)),2)</f>
        <v>0</v>
      </c>
      <c r="U62" s="1351">
        <f t="shared" ref="U62" si="4">ROUND((+T62/Q62),2)</f>
        <v>0</v>
      </c>
      <c r="V62" s="674"/>
    </row>
    <row r="63" spans="2:26" ht="27.6" hidden="1" x14ac:dyDescent="0.25">
      <c r="B63" s="1348" t="s">
        <v>1353</v>
      </c>
      <c r="C63" s="1349" t="s">
        <v>1971</v>
      </c>
      <c r="D63" s="1349" t="s">
        <v>1970</v>
      </c>
      <c r="E63" s="1387" t="s">
        <v>1370</v>
      </c>
      <c r="F63" s="2052" t="s">
        <v>1343</v>
      </c>
      <c r="G63" s="2052"/>
      <c r="H63" s="2052" t="s">
        <v>1351</v>
      </c>
      <c r="I63" s="2052"/>
      <c r="J63" s="1350">
        <v>120</v>
      </c>
      <c r="K63" s="1351" t="s">
        <v>1352</v>
      </c>
      <c r="L63" s="1352">
        <v>0.2</v>
      </c>
      <c r="M63" s="1353">
        <f t="shared" ref="M63" si="5">+L63/Q63</f>
        <v>0.22222222222222224</v>
      </c>
      <c r="N63" s="1351">
        <v>1</v>
      </c>
      <c r="O63" s="1351">
        <v>0.5</v>
      </c>
      <c r="P63" s="1351">
        <v>1</v>
      </c>
      <c r="Q63" s="1351">
        <v>0.9</v>
      </c>
      <c r="R63" s="1351">
        <f t="shared" ref="R63" si="6">ROUND(IF(F63="RESERVA",0,IF(F63="CONTINUO",L63*N63*O63/P63,0)),2)</f>
        <v>0</v>
      </c>
      <c r="S63" s="1351">
        <f t="shared" ref="S63" si="7">ROUND((+R63/Q63),2)</f>
        <v>0</v>
      </c>
      <c r="T63" s="1351">
        <f t="shared" ref="T63" si="8">ROUND(IF(F63="RESERVA",0,IF(F63="INTERMITENTE",L63*N63*O63/P63,0)),2)</f>
        <v>0.1</v>
      </c>
      <c r="U63" s="1351">
        <f t="shared" ref="U63" si="9">ROUND((+T63/Q63),2)</f>
        <v>0.11</v>
      </c>
      <c r="V63" s="674"/>
    </row>
    <row r="64" spans="2:26" ht="27.6" hidden="1" x14ac:dyDescent="0.25">
      <c r="B64" s="1348" t="s">
        <v>1354</v>
      </c>
      <c r="C64" s="1349" t="s">
        <v>1951</v>
      </c>
      <c r="D64" s="1349" t="s">
        <v>1955</v>
      </c>
      <c r="E64" s="1387" t="s">
        <v>1370</v>
      </c>
      <c r="F64" s="2052" t="s">
        <v>1343</v>
      </c>
      <c r="G64" s="2052"/>
      <c r="H64" s="2052" t="s">
        <v>1351</v>
      </c>
      <c r="I64" s="2052"/>
      <c r="J64" s="1350">
        <v>240</v>
      </c>
      <c r="K64" s="1351" t="s">
        <v>1352</v>
      </c>
      <c r="L64" s="1352">
        <v>0.8</v>
      </c>
      <c r="M64" s="1353">
        <f>+L64/Q64</f>
        <v>0.88888888888888895</v>
      </c>
      <c r="N64" s="1351">
        <v>1</v>
      </c>
      <c r="O64" s="1351">
        <v>0.5</v>
      </c>
      <c r="P64" s="1351">
        <v>1</v>
      </c>
      <c r="Q64" s="1351">
        <v>0.9</v>
      </c>
      <c r="R64" s="1351">
        <f>ROUND(IF(F64="RESERVA",0,IF(F64="CONTINUO",L64*N64*O64/P64,0)),2)</f>
        <v>0</v>
      </c>
      <c r="S64" s="1351">
        <f>ROUND((+R64/Q64),2)</f>
        <v>0</v>
      </c>
      <c r="T64" s="1351">
        <f>ROUND(IF(F64="RESERVA",0,IF(F64="INTERMITENTE",L64*N64*O64/P64,0)),2)</f>
        <v>0.4</v>
      </c>
      <c r="U64" s="1351">
        <f>ROUND((+T64/Q64),2)</f>
        <v>0.44</v>
      </c>
      <c r="V64" s="674"/>
    </row>
    <row r="65" spans="2:26" ht="27.6" hidden="1" x14ac:dyDescent="0.25">
      <c r="B65" s="1348" t="s">
        <v>1355</v>
      </c>
      <c r="C65" s="1349" t="s">
        <v>1956</v>
      </c>
      <c r="D65" s="1349" t="s">
        <v>1957</v>
      </c>
      <c r="E65" s="1387" t="s">
        <v>1370</v>
      </c>
      <c r="F65" s="2052" t="s">
        <v>1342</v>
      </c>
      <c r="G65" s="2052"/>
      <c r="H65" s="2052" t="s">
        <v>1351</v>
      </c>
      <c r="I65" s="2052"/>
      <c r="J65" s="1350">
        <v>120</v>
      </c>
      <c r="K65" s="1351" t="s">
        <v>1352</v>
      </c>
      <c r="L65" s="1352">
        <v>0.2</v>
      </c>
      <c r="M65" s="1353">
        <f>+L65/Q65</f>
        <v>0.22222222222222224</v>
      </c>
      <c r="N65" s="1351">
        <v>1</v>
      </c>
      <c r="O65" s="1351">
        <v>0.5</v>
      </c>
      <c r="P65" s="1351">
        <v>1</v>
      </c>
      <c r="Q65" s="1351">
        <v>0.9</v>
      </c>
      <c r="R65" s="1351">
        <f>ROUND(IF(F65="RESERVA",0,IF(F65="CONTINUO",L65*N65*O65/P65,0)),2)</f>
        <v>0.1</v>
      </c>
      <c r="S65" s="1351">
        <f>ROUND((+R65/Q65),2)</f>
        <v>0.11</v>
      </c>
      <c r="T65" s="1351">
        <f>ROUND(IF(F65="RESERVA",0,IF(F65="INTERMITENTE",L65*N65*O65/P65,0)),2)</f>
        <v>0</v>
      </c>
      <c r="U65" s="1351">
        <f>ROUND((+T65/Q65),2)</f>
        <v>0</v>
      </c>
      <c r="V65" s="674"/>
    </row>
    <row r="66" spans="2:26" ht="27.6" hidden="1" x14ac:dyDescent="0.25">
      <c r="B66" s="1348" t="s">
        <v>1356</v>
      </c>
      <c r="C66" s="1349" t="s">
        <v>1953</v>
      </c>
      <c r="D66" s="1349" t="s">
        <v>1954</v>
      </c>
      <c r="E66" s="1387" t="s">
        <v>1370</v>
      </c>
      <c r="F66" s="2052" t="s">
        <v>1342</v>
      </c>
      <c r="G66" s="2052"/>
      <c r="H66" s="2052" t="s">
        <v>1351</v>
      </c>
      <c r="I66" s="2052"/>
      <c r="J66" s="1350">
        <v>120</v>
      </c>
      <c r="K66" s="1351" t="s">
        <v>1352</v>
      </c>
      <c r="L66" s="1352">
        <v>0.4</v>
      </c>
      <c r="M66" s="1353">
        <f t="shared" ref="M66" si="10">+L66/Q66</f>
        <v>0.44444444444444448</v>
      </c>
      <c r="N66" s="1351">
        <v>1</v>
      </c>
      <c r="O66" s="1351">
        <v>1</v>
      </c>
      <c r="P66" s="1351">
        <v>1</v>
      </c>
      <c r="Q66" s="1351">
        <v>0.9</v>
      </c>
      <c r="R66" s="1351">
        <f t="shared" ref="R66" si="11">ROUND(IF(F66="RESERVA",0,IF(F66="CONTINUO",L66*N66*O66/P66,0)),2)</f>
        <v>0.4</v>
      </c>
      <c r="S66" s="1351">
        <f t="shared" ref="S66" si="12">ROUND((+R66/Q66),2)</f>
        <v>0.44</v>
      </c>
      <c r="T66" s="1351">
        <f t="shared" ref="T66" si="13">ROUND(IF(F66="RESERVA",0,IF(F66="INTERMITENTE",L66*N66*O66/P66,0)),2)</f>
        <v>0</v>
      </c>
      <c r="U66" s="1351">
        <f t="shared" ref="U66" si="14">ROUND((+T66/Q66),2)</f>
        <v>0</v>
      </c>
      <c r="V66" s="674"/>
    </row>
    <row r="67" spans="2:26" ht="27.6" hidden="1" x14ac:dyDescent="0.25">
      <c r="B67" s="1348" t="s">
        <v>1357</v>
      </c>
      <c r="C67" s="1349" t="s">
        <v>1953</v>
      </c>
      <c r="D67" s="1349" t="s">
        <v>1972</v>
      </c>
      <c r="E67" s="1387" t="s">
        <v>1370</v>
      </c>
      <c r="F67" s="2052" t="s">
        <v>1343</v>
      </c>
      <c r="G67" s="2052"/>
      <c r="H67" s="2052" t="s">
        <v>1351</v>
      </c>
      <c r="I67" s="2052"/>
      <c r="J67" s="1350">
        <v>120</v>
      </c>
      <c r="K67" s="1351" t="s">
        <v>1352</v>
      </c>
      <c r="L67" s="1352">
        <v>0.4</v>
      </c>
      <c r="M67" s="1353">
        <f>+L67/Q67</f>
        <v>0.44444444444444448</v>
      </c>
      <c r="N67" s="1351">
        <v>1</v>
      </c>
      <c r="O67" s="1351">
        <v>1</v>
      </c>
      <c r="P67" s="1351">
        <v>1</v>
      </c>
      <c r="Q67" s="1351">
        <v>0.9</v>
      </c>
      <c r="R67" s="1351">
        <f>ROUND(IF(F67="RESERVA",0,IF(F67="CONTINUO",L67*N67*O67/P67,0)),2)</f>
        <v>0</v>
      </c>
      <c r="S67" s="1351">
        <f>ROUND((+R67/Q67),2)</f>
        <v>0</v>
      </c>
      <c r="T67" s="1351">
        <f>ROUND(IF(F67="RESERVA",0,IF(F67="INTERMITENTE",L67*N67*O67/P67,0)),2)</f>
        <v>0.4</v>
      </c>
      <c r="U67" s="1351">
        <f>ROUND((+T67/Q67),2)</f>
        <v>0.44</v>
      </c>
      <c r="V67" s="674"/>
    </row>
    <row r="68" spans="2:26" ht="55.2" hidden="1" x14ac:dyDescent="0.25">
      <c r="B68" s="1348" t="s">
        <v>1589</v>
      </c>
      <c r="C68" s="1349" t="s">
        <v>1946</v>
      </c>
      <c r="D68" s="1349" t="s">
        <v>1969</v>
      </c>
      <c r="E68" s="1387" t="s">
        <v>1370</v>
      </c>
      <c r="F68" s="2052" t="s">
        <v>1342</v>
      </c>
      <c r="G68" s="2052"/>
      <c r="H68" s="2052" t="s">
        <v>1351</v>
      </c>
      <c r="I68" s="2052"/>
      <c r="J68" s="1350">
        <v>120</v>
      </c>
      <c r="K68" s="1351" t="s">
        <v>1352</v>
      </c>
      <c r="L68" s="1352">
        <v>1.92</v>
      </c>
      <c r="M68" s="1353">
        <f t="shared" ref="M68:M69" si="15">+L68/Q68</f>
        <v>2.1333333333333333</v>
      </c>
      <c r="N68" s="1351">
        <v>1</v>
      </c>
      <c r="O68" s="1351">
        <v>1</v>
      </c>
      <c r="P68" s="1351">
        <v>1</v>
      </c>
      <c r="Q68" s="1351">
        <v>0.9</v>
      </c>
      <c r="R68" s="1351">
        <f t="shared" ref="R68:R69" si="16">ROUND(IF(F68="RESERVA",0,IF(F68="CONTINUO",L68*N68*O68/P68,0)),2)</f>
        <v>1.92</v>
      </c>
      <c r="S68" s="1351">
        <f t="shared" ref="S68:S69" si="17">ROUND((+R68/Q68),2)</f>
        <v>2.13</v>
      </c>
      <c r="T68" s="1351">
        <f t="shared" ref="T68:T69" si="18">ROUND(IF(F68="RESERVA",0,IF(F68="INTERMITENTE",L68*N68*O68/P68,0)),2)</f>
        <v>0</v>
      </c>
      <c r="U68" s="1351">
        <f t="shared" ref="U68:U69" si="19">ROUND((+T68/Q68),2)</f>
        <v>0</v>
      </c>
      <c r="V68" s="674"/>
    </row>
    <row r="69" spans="2:26" ht="27.6" hidden="1" x14ac:dyDescent="0.25">
      <c r="B69" s="1348" t="s">
        <v>1590</v>
      </c>
      <c r="C69" s="1349" t="s">
        <v>1953</v>
      </c>
      <c r="D69" s="1349" t="s">
        <v>1958</v>
      </c>
      <c r="E69" s="1387" t="s">
        <v>1370</v>
      </c>
      <c r="F69" s="2052" t="s">
        <v>1342</v>
      </c>
      <c r="G69" s="2052"/>
      <c r="H69" s="2052" t="s">
        <v>1351</v>
      </c>
      <c r="I69" s="2052"/>
      <c r="J69" s="1350">
        <v>120</v>
      </c>
      <c r="K69" s="1351" t="s">
        <v>1352</v>
      </c>
      <c r="L69" s="1352">
        <f>2*0.9</f>
        <v>1.8</v>
      </c>
      <c r="M69" s="1353">
        <f t="shared" si="15"/>
        <v>2</v>
      </c>
      <c r="N69" s="1351">
        <v>1</v>
      </c>
      <c r="O69" s="1351">
        <v>1</v>
      </c>
      <c r="P69" s="1351">
        <v>1</v>
      </c>
      <c r="Q69" s="1351">
        <v>0.9</v>
      </c>
      <c r="R69" s="1351">
        <f t="shared" si="16"/>
        <v>1.8</v>
      </c>
      <c r="S69" s="1351">
        <f t="shared" si="17"/>
        <v>2</v>
      </c>
      <c r="T69" s="1351">
        <f t="shared" si="18"/>
        <v>0</v>
      </c>
      <c r="U69" s="1351">
        <f t="shared" si="19"/>
        <v>0</v>
      </c>
      <c r="V69" s="674"/>
    </row>
    <row r="70" spans="2:26" ht="27.6" hidden="1" x14ac:dyDescent="0.25">
      <c r="B70" s="1348" t="s">
        <v>1591</v>
      </c>
      <c r="C70" s="1349" t="s">
        <v>1953</v>
      </c>
      <c r="D70" s="1349" t="s">
        <v>1959</v>
      </c>
      <c r="E70" s="1387" t="s">
        <v>1370</v>
      </c>
      <c r="F70" s="2052" t="s">
        <v>1343</v>
      </c>
      <c r="G70" s="2052"/>
      <c r="H70" s="2052" t="s">
        <v>1351</v>
      </c>
      <c r="I70" s="2052"/>
      <c r="J70" s="1350">
        <v>120</v>
      </c>
      <c r="K70" s="1351" t="s">
        <v>1352</v>
      </c>
      <c r="L70" s="1352">
        <v>0.4</v>
      </c>
      <c r="M70" s="1353">
        <f>+L70/Q70</f>
        <v>0.44444444444444448</v>
      </c>
      <c r="N70" s="1351">
        <v>1</v>
      </c>
      <c r="O70" s="1351">
        <v>0.2</v>
      </c>
      <c r="P70" s="1351">
        <v>1</v>
      </c>
      <c r="Q70" s="1351">
        <v>0.9</v>
      </c>
      <c r="R70" s="1351">
        <f>ROUND(IF(F70="RESERVA",0,IF(F70="CONTINUO",L70*N70*O70/P70,0)),2)</f>
        <v>0</v>
      </c>
      <c r="S70" s="1351">
        <f>ROUND((+R70/Q70),2)</f>
        <v>0</v>
      </c>
      <c r="T70" s="1351">
        <f>ROUND(IF(F70="RESERVA",0,IF(F70="INTERMITENTE",L70*N70*O70/P70,0)),2)</f>
        <v>0.08</v>
      </c>
      <c r="U70" s="1351">
        <f>ROUND((+T70/Q70),2)</f>
        <v>0.09</v>
      </c>
      <c r="V70" s="674"/>
    </row>
    <row r="71" spans="2:26" ht="27.6" hidden="1" x14ac:dyDescent="0.25">
      <c r="B71" s="1348" t="s">
        <v>1592</v>
      </c>
      <c r="C71" s="1349" t="s">
        <v>1953</v>
      </c>
      <c r="D71" s="1349" t="s">
        <v>1960</v>
      </c>
      <c r="E71" s="1387" t="s">
        <v>1370</v>
      </c>
      <c r="F71" s="2052" t="s">
        <v>1343</v>
      </c>
      <c r="G71" s="2052"/>
      <c r="H71" s="2052" t="s">
        <v>1351</v>
      </c>
      <c r="I71" s="2052"/>
      <c r="J71" s="1350">
        <v>120</v>
      </c>
      <c r="K71" s="1351" t="s">
        <v>1352</v>
      </c>
      <c r="L71" s="1352">
        <v>0.4</v>
      </c>
      <c r="M71" s="1353">
        <f>+L71/Q71</f>
        <v>0.44444444444444448</v>
      </c>
      <c r="N71" s="1351">
        <v>1</v>
      </c>
      <c r="O71" s="1351">
        <v>0.2</v>
      </c>
      <c r="P71" s="1351">
        <v>1</v>
      </c>
      <c r="Q71" s="1351">
        <v>0.9</v>
      </c>
      <c r="R71" s="1351">
        <f>ROUND(IF(F71="RESERVA",0,IF(F71="CONTINUO",L71*N71*O71/P71,0)),2)</f>
        <v>0</v>
      </c>
      <c r="S71" s="1351">
        <f>ROUND((+R71/Q71),2)</f>
        <v>0</v>
      </c>
      <c r="T71" s="1351">
        <f>ROUND(IF(F71="RESERVA",0,IF(F71="INTERMITENTE",L71*N71*O71/P71,0)),2)</f>
        <v>0.08</v>
      </c>
      <c r="U71" s="1351">
        <f>ROUND((+T71/Q71),2)</f>
        <v>0.09</v>
      </c>
      <c r="V71" s="674"/>
    </row>
    <row r="72" spans="2:26" ht="27.6" hidden="1" x14ac:dyDescent="0.25">
      <c r="B72" s="1348" t="s">
        <v>1593</v>
      </c>
      <c r="C72" s="1349" t="s">
        <v>1953</v>
      </c>
      <c r="D72" s="1349" t="s">
        <v>1961</v>
      </c>
      <c r="E72" s="1387" t="s">
        <v>1370</v>
      </c>
      <c r="F72" s="2052" t="s">
        <v>1343</v>
      </c>
      <c r="G72" s="2052"/>
      <c r="H72" s="2052" t="s">
        <v>1351</v>
      </c>
      <c r="I72" s="2052"/>
      <c r="J72" s="1350">
        <v>120</v>
      </c>
      <c r="K72" s="1351" t="s">
        <v>1352</v>
      </c>
      <c r="L72" s="1352">
        <v>0.4</v>
      </c>
      <c r="M72" s="1353">
        <f t="shared" ref="M72" si="20">+L72/Q72</f>
        <v>0.44444444444444448</v>
      </c>
      <c r="N72" s="1351">
        <v>1</v>
      </c>
      <c r="O72" s="1351">
        <v>0.2</v>
      </c>
      <c r="P72" s="1351">
        <v>1</v>
      </c>
      <c r="Q72" s="1351">
        <v>0.9</v>
      </c>
      <c r="R72" s="1351">
        <f t="shared" ref="R72" si="21">ROUND(IF(F72="RESERVA",0,IF(F72="CONTINUO",L72*N72*O72/P72,0)),2)</f>
        <v>0</v>
      </c>
      <c r="S72" s="1351">
        <f t="shared" ref="S72" si="22">ROUND((+R72/Q72),2)</f>
        <v>0</v>
      </c>
      <c r="T72" s="1351">
        <f t="shared" ref="T72" si="23">ROUND(IF(F72="RESERVA",0,IF(F72="INTERMITENTE",L72*N72*O72/P72,0)),2)</f>
        <v>0.08</v>
      </c>
      <c r="U72" s="1351">
        <f t="shared" ref="U72" si="24">ROUND((+T72/Q72),2)</f>
        <v>0.09</v>
      </c>
      <c r="V72" s="674"/>
    </row>
    <row r="73" spans="2:26" ht="27.6" hidden="1" x14ac:dyDescent="0.25">
      <c r="B73" s="1348" t="s">
        <v>1594</v>
      </c>
      <c r="C73" s="1349" t="s">
        <v>1953</v>
      </c>
      <c r="D73" s="1349" t="s">
        <v>1962</v>
      </c>
      <c r="E73" s="1387" t="s">
        <v>1370</v>
      </c>
      <c r="F73" s="2052" t="s">
        <v>1343</v>
      </c>
      <c r="G73" s="2052"/>
      <c r="H73" s="2052" t="s">
        <v>1351</v>
      </c>
      <c r="I73" s="2052"/>
      <c r="J73" s="1350">
        <v>120</v>
      </c>
      <c r="K73" s="1351" t="s">
        <v>1352</v>
      </c>
      <c r="L73" s="1352">
        <v>0.4</v>
      </c>
      <c r="M73" s="1353">
        <f>+L73/Q73</f>
        <v>0.44444444444444448</v>
      </c>
      <c r="N73" s="1351">
        <v>1</v>
      </c>
      <c r="O73" s="1351">
        <v>0.2</v>
      </c>
      <c r="P73" s="1351">
        <v>1</v>
      </c>
      <c r="Q73" s="1351">
        <v>0.9</v>
      </c>
      <c r="R73" s="1351">
        <f>ROUND(IF(F73="RESERVA",0,IF(F73="CONTINUO",L73*N73*O73/P73,0)),2)</f>
        <v>0</v>
      </c>
      <c r="S73" s="1351">
        <f>ROUND((+R73/Q73),2)</f>
        <v>0</v>
      </c>
      <c r="T73" s="1351">
        <f>ROUND(IF(F73="RESERVA",0,IF(F73="INTERMITENTE",L73*N73*O73/P73,0)),2)</f>
        <v>0.08</v>
      </c>
      <c r="U73" s="1351">
        <f>ROUND((+T73/Q73),2)</f>
        <v>0.09</v>
      </c>
      <c r="V73" s="674"/>
    </row>
    <row r="74" spans="2:26" ht="27.6" hidden="1" x14ac:dyDescent="0.25">
      <c r="B74" s="1348" t="s">
        <v>1595</v>
      </c>
      <c r="C74" s="1349" t="s">
        <v>1953</v>
      </c>
      <c r="D74" s="1349" t="s">
        <v>1964</v>
      </c>
      <c r="E74" s="1387" t="s">
        <v>1370</v>
      </c>
      <c r="F74" s="2052" t="s">
        <v>1343</v>
      </c>
      <c r="G74" s="2052"/>
      <c r="H74" s="2052" t="s">
        <v>1351</v>
      </c>
      <c r="I74" s="2052"/>
      <c r="J74" s="1350">
        <v>120</v>
      </c>
      <c r="K74" s="1351" t="s">
        <v>1352</v>
      </c>
      <c r="L74" s="1352">
        <v>0.4</v>
      </c>
      <c r="M74" s="1353">
        <f>+L74/Q74</f>
        <v>0.44444444444444448</v>
      </c>
      <c r="N74" s="1351">
        <v>1</v>
      </c>
      <c r="O74" s="1351">
        <v>0.2</v>
      </c>
      <c r="P74" s="1351">
        <v>1</v>
      </c>
      <c r="Q74" s="1351">
        <v>0.9</v>
      </c>
      <c r="R74" s="1351">
        <f>ROUND(IF(F74="RESERVA",0,IF(F74="CONTINUO",L74*N74*O74/P74,0)),2)</f>
        <v>0</v>
      </c>
      <c r="S74" s="1351">
        <f>ROUND((+R74/Q74),2)</f>
        <v>0</v>
      </c>
      <c r="T74" s="1351">
        <f>ROUND(IF(F74="RESERVA",0,IF(F74="INTERMITENTE",L74*N74*O74/P74,0)),2)</f>
        <v>0.08</v>
      </c>
      <c r="U74" s="1351">
        <f>ROUND((+T74/Q74),2)</f>
        <v>0.09</v>
      </c>
      <c r="V74" s="674"/>
    </row>
    <row r="75" spans="2:26" ht="11.25" hidden="1" customHeight="1" x14ac:dyDescent="0.25">
      <c r="B75" s="871"/>
      <c r="C75" s="872"/>
      <c r="D75" s="872"/>
      <c r="E75" s="872"/>
      <c r="F75" s="872"/>
      <c r="G75" s="872"/>
      <c r="H75" s="872"/>
      <c r="I75" s="872"/>
      <c r="J75" s="872"/>
      <c r="K75" s="872"/>
      <c r="L75" s="872"/>
      <c r="M75" s="872"/>
      <c r="N75" s="872"/>
      <c r="O75" s="872"/>
      <c r="P75" s="872"/>
      <c r="Q75" s="872"/>
      <c r="R75" s="872"/>
      <c r="S75" s="872"/>
      <c r="T75" s="879"/>
      <c r="U75" s="879"/>
      <c r="V75" s="675"/>
    </row>
    <row r="76" spans="2:26" ht="18" hidden="1" customHeight="1" x14ac:dyDescent="0.25">
      <c r="B76" s="2029" t="s">
        <v>1358</v>
      </c>
      <c r="C76" s="2029"/>
      <c r="D76" s="2029"/>
      <c r="E76" s="2029"/>
      <c r="F76" s="2029"/>
      <c r="G76" s="2029"/>
      <c r="H76" s="2029"/>
      <c r="I76" s="2029"/>
      <c r="J76" s="2029"/>
      <c r="K76" s="2029"/>
      <c r="L76" s="2029"/>
      <c r="M76" s="2029"/>
      <c r="N76" s="2029"/>
      <c r="O76" s="2029"/>
      <c r="P76" s="2029"/>
      <c r="Q76" s="2029"/>
      <c r="R76" s="2027" t="s">
        <v>1359</v>
      </c>
      <c r="S76" s="2027"/>
      <c r="T76" s="2027"/>
      <c r="U76" s="2027"/>
      <c r="V76" s="676"/>
    </row>
    <row r="77" spans="2:26" ht="14.1" hidden="1" customHeight="1" x14ac:dyDescent="0.25">
      <c r="B77" s="2029"/>
      <c r="C77" s="2029"/>
      <c r="D77" s="2029"/>
      <c r="E77" s="2029"/>
      <c r="F77" s="2029"/>
      <c r="G77" s="2029"/>
      <c r="H77" s="2029"/>
      <c r="I77" s="2029"/>
      <c r="J77" s="2029"/>
      <c r="K77" s="2029"/>
      <c r="L77" s="2029"/>
      <c r="M77" s="2029"/>
      <c r="N77" s="2029"/>
      <c r="O77" s="2029"/>
      <c r="P77" s="2029"/>
      <c r="Q77" s="2029"/>
      <c r="R77" s="2028" t="s">
        <v>1342</v>
      </c>
      <c r="S77" s="2028"/>
      <c r="T77" s="2028" t="s">
        <v>1343</v>
      </c>
      <c r="U77" s="2028"/>
      <c r="V77" s="676"/>
    </row>
    <row r="78" spans="2:26" ht="17.25" hidden="1" customHeight="1" x14ac:dyDescent="0.25">
      <c r="B78" s="2029"/>
      <c r="C78" s="2029"/>
      <c r="D78" s="2029"/>
      <c r="E78" s="2029"/>
      <c r="F78" s="2029"/>
      <c r="G78" s="2029"/>
      <c r="H78" s="2029"/>
      <c r="I78" s="2029"/>
      <c r="J78" s="2029"/>
      <c r="K78" s="2029"/>
      <c r="L78" s="2029"/>
      <c r="M78" s="2029"/>
      <c r="N78" s="2029"/>
      <c r="O78" s="2029"/>
      <c r="P78" s="2029"/>
      <c r="Q78" s="2029"/>
      <c r="R78" s="1354" t="s">
        <v>636</v>
      </c>
      <c r="S78" s="1355" t="s">
        <v>595</v>
      </c>
      <c r="T78" s="1354" t="s">
        <v>636</v>
      </c>
      <c r="U78" s="1355" t="s">
        <v>595</v>
      </c>
      <c r="V78" s="676"/>
      <c r="W78" s="676"/>
      <c r="X78" s="676"/>
      <c r="Y78" s="676"/>
      <c r="Z78" s="676"/>
    </row>
    <row r="79" spans="2:26" ht="20.399999999999999" hidden="1" customHeight="1" x14ac:dyDescent="0.25">
      <c r="B79" s="2030" t="s">
        <v>1360</v>
      </c>
      <c r="C79" s="2030"/>
      <c r="D79" s="2030"/>
      <c r="E79" s="2030"/>
      <c r="F79" s="2030"/>
      <c r="G79" s="2030"/>
      <c r="H79" s="2030"/>
      <c r="I79" s="2030"/>
      <c r="J79" s="2030"/>
      <c r="K79" s="2030"/>
      <c r="L79" s="2030"/>
      <c r="M79" s="2030"/>
      <c r="N79" s="2030"/>
      <c r="O79" s="2030"/>
      <c r="P79" s="2030"/>
      <c r="Q79" s="2030"/>
      <c r="R79" s="1356">
        <f>SUM(R62:R74)</f>
        <v>4.26</v>
      </c>
      <c r="S79" s="1356">
        <f>SUM(S62:S74)</f>
        <v>4.72</v>
      </c>
      <c r="T79" s="1356">
        <f>SUM(T62:T74)</f>
        <v>1.3000000000000003</v>
      </c>
      <c r="U79" s="1356">
        <f>SUM(U62:U74)</f>
        <v>1.4400000000000004</v>
      </c>
      <c r="V79" s="677"/>
      <c r="W79" s="678">
        <f>SQRT(POWER(+R79,2)+POWER(+S79,2))+SQRT(POWER(+T79,2)+POWER(+U79,2))</f>
        <v>8.2981443833873421</v>
      </c>
      <c r="X79" s="677"/>
      <c r="Y79" s="677"/>
      <c r="Z79" s="677"/>
    </row>
    <row r="80" spans="2:26" ht="17.25" hidden="1" customHeight="1" x14ac:dyDescent="0.25">
      <c r="B80" s="2031" t="s">
        <v>1361</v>
      </c>
      <c r="C80" s="2031"/>
      <c r="D80" s="2031"/>
      <c r="E80" s="2031"/>
      <c r="F80" s="2031"/>
      <c r="G80" s="2031"/>
      <c r="H80" s="2031"/>
      <c r="I80" s="2031"/>
      <c r="J80" s="2031"/>
      <c r="K80" s="2031"/>
      <c r="L80" s="2031"/>
      <c r="M80" s="2031"/>
      <c r="N80" s="2031"/>
      <c r="O80" s="2031"/>
      <c r="P80" s="2031"/>
      <c r="Q80" s="2031"/>
      <c r="R80" s="2023" t="str">
        <f>CONCATENATE(ROUND(W83,3)," kVA",)</f>
        <v>6,16 kVA</v>
      </c>
      <c r="S80" s="2023"/>
      <c r="T80" s="2023"/>
      <c r="U80" s="2023"/>
      <c r="V80" s="678"/>
      <c r="W80" s="677"/>
      <c r="X80" s="677"/>
      <c r="Y80" s="677"/>
      <c r="Z80" s="677"/>
    </row>
    <row r="81" spans="2:26" ht="7.35" hidden="1" customHeight="1" x14ac:dyDescent="0.25">
      <c r="B81" s="880"/>
      <c r="C81" s="880"/>
      <c r="D81" s="880"/>
      <c r="E81" s="880"/>
      <c r="F81" s="880"/>
      <c r="G81" s="880"/>
      <c r="H81" s="880"/>
      <c r="I81" s="880"/>
      <c r="J81" s="880"/>
      <c r="K81" s="880"/>
      <c r="L81" s="880"/>
      <c r="M81" s="880"/>
      <c r="N81" s="880"/>
      <c r="O81" s="880"/>
      <c r="P81" s="880"/>
      <c r="Q81" s="880"/>
      <c r="R81" s="880"/>
      <c r="S81" s="881"/>
      <c r="T81" s="881"/>
      <c r="U81" s="882"/>
      <c r="V81" s="677"/>
      <c r="W81" s="677"/>
      <c r="X81" s="677"/>
      <c r="Y81" s="677"/>
      <c r="Z81" s="677"/>
    </row>
    <row r="82" spans="2:26" ht="7.35" hidden="1" customHeight="1" x14ac:dyDescent="0.25">
      <c r="B82" s="883"/>
      <c r="C82" s="884"/>
      <c r="D82" s="884"/>
      <c r="E82" s="884"/>
      <c r="F82" s="884"/>
      <c r="G82" s="884"/>
      <c r="H82" s="884"/>
      <c r="I82" s="884"/>
      <c r="J82" s="884"/>
      <c r="K82" s="884"/>
      <c r="L82" s="884"/>
      <c r="M82" s="884"/>
      <c r="N82" s="884"/>
      <c r="O82" s="884"/>
      <c r="P82" s="884"/>
      <c r="Q82" s="884"/>
      <c r="R82" s="884"/>
      <c r="S82" s="885"/>
      <c r="T82" s="885"/>
      <c r="U82" s="886"/>
      <c r="V82" s="677"/>
      <c r="W82" s="677"/>
      <c r="X82" s="677"/>
      <c r="Y82" s="677"/>
      <c r="Z82" s="677"/>
    </row>
    <row r="83" spans="2:26" ht="14.1" hidden="1" customHeight="1" x14ac:dyDescent="0.25">
      <c r="B83" s="880"/>
      <c r="C83" s="884"/>
      <c r="D83" s="884"/>
      <c r="E83" s="2029" t="s">
        <v>1362</v>
      </c>
      <c r="F83" s="2029"/>
      <c r="G83" s="2029"/>
      <c r="H83" s="2029"/>
      <c r="I83" s="2029"/>
      <c r="J83" s="2029"/>
      <c r="K83" s="2029"/>
      <c r="L83" s="2029"/>
      <c r="M83" s="2029"/>
      <c r="N83" s="2029"/>
      <c r="O83" s="2029"/>
      <c r="P83" s="2029"/>
      <c r="Q83" s="884"/>
      <c r="R83" s="884"/>
      <c r="S83" s="884"/>
      <c r="T83" s="881"/>
      <c r="U83" s="884"/>
      <c r="W83" s="681">
        <f>+S79+U79</f>
        <v>6.16</v>
      </c>
    </row>
    <row r="84" spans="2:26" ht="13.65" hidden="1" customHeight="1" x14ac:dyDescent="0.25">
      <c r="B84" s="880"/>
      <c r="C84" s="884"/>
      <c r="D84" s="884"/>
      <c r="E84" s="2022" t="s">
        <v>1363</v>
      </c>
      <c r="F84" s="2022"/>
      <c r="G84" s="2022"/>
      <c r="H84" s="2022"/>
      <c r="I84" s="2022"/>
      <c r="J84" s="2022"/>
      <c r="K84" s="2022"/>
      <c r="L84" s="2022"/>
      <c r="M84" s="2022"/>
      <c r="N84" s="2022"/>
      <c r="O84" s="1357" t="s">
        <v>595</v>
      </c>
      <c r="P84" s="1358">
        <f>+W83</f>
        <v>6.16</v>
      </c>
      <c r="Q84" s="884"/>
      <c r="R84" s="884"/>
      <c r="S84" s="884"/>
      <c r="T84" s="881"/>
      <c r="U84" s="884"/>
    </row>
    <row r="85" spans="2:26" ht="13.65" hidden="1" customHeight="1" x14ac:dyDescent="0.25">
      <c r="B85" s="880"/>
      <c r="C85" s="884"/>
      <c r="D85" s="884"/>
      <c r="E85" s="2022"/>
      <c r="F85" s="2022"/>
      <c r="G85" s="2022"/>
      <c r="H85" s="2022"/>
      <c r="I85" s="2022"/>
      <c r="J85" s="2022"/>
      <c r="K85" s="2022"/>
      <c r="L85" s="2022"/>
      <c r="M85" s="2022"/>
      <c r="N85" s="2022"/>
      <c r="O85" s="1357" t="s">
        <v>636</v>
      </c>
      <c r="P85" s="1358">
        <f>+P84*0.9</f>
        <v>5.5440000000000005</v>
      </c>
      <c r="Q85" s="884"/>
      <c r="R85" s="884"/>
      <c r="S85" s="884"/>
      <c r="T85" s="881"/>
      <c r="U85" s="884"/>
    </row>
    <row r="86" spans="2:26" ht="13.65" hidden="1" customHeight="1" x14ac:dyDescent="0.25">
      <c r="B86" s="880"/>
      <c r="C86" s="884"/>
      <c r="D86" s="884"/>
      <c r="E86" s="2024" t="s">
        <v>1364</v>
      </c>
      <c r="F86" s="2024"/>
      <c r="G86" s="2024"/>
      <c r="H86" s="2024"/>
      <c r="I86" s="2024"/>
      <c r="J86" s="2024"/>
      <c r="K86" s="2024"/>
      <c r="L86" s="2024"/>
      <c r="M86" s="2024"/>
      <c r="N86" s="2024"/>
      <c r="O86" s="1357" t="s">
        <v>595</v>
      </c>
      <c r="P86" s="1358" t="e">
        <f>+'Demanda Trafo A'!#REF!</f>
        <v>#REF!</v>
      </c>
      <c r="Q86" s="884"/>
      <c r="R86" s="884"/>
      <c r="S86" s="884"/>
      <c r="T86" s="881"/>
      <c r="U86" s="884"/>
    </row>
    <row r="87" spans="2:26" ht="13.65" hidden="1" customHeight="1" x14ac:dyDescent="0.25">
      <c r="B87" s="880"/>
      <c r="C87" s="884"/>
      <c r="D87" s="884"/>
      <c r="E87" s="2024" t="s">
        <v>1365</v>
      </c>
      <c r="F87" s="2024"/>
      <c r="G87" s="2024"/>
      <c r="H87" s="2024"/>
      <c r="I87" s="2024"/>
      <c r="J87" s="2024"/>
      <c r="K87" s="2024"/>
      <c r="L87" s="2024"/>
      <c r="M87" s="2024"/>
      <c r="N87" s="2024"/>
      <c r="O87" s="2025">
        <v>1</v>
      </c>
      <c r="P87" s="2025"/>
      <c r="Q87" s="884"/>
      <c r="R87" s="884"/>
      <c r="S87" s="884"/>
      <c r="T87" s="881"/>
      <c r="U87" s="884"/>
    </row>
    <row r="88" spans="2:26" ht="13.65" hidden="1" customHeight="1" x14ac:dyDescent="0.25">
      <c r="B88" s="880"/>
      <c r="C88" s="884"/>
      <c r="D88" s="884"/>
      <c r="E88" s="2024" t="s">
        <v>1366</v>
      </c>
      <c r="F88" s="2024"/>
      <c r="G88" s="2024"/>
      <c r="H88" s="2024"/>
      <c r="I88" s="2024"/>
      <c r="J88" s="2024"/>
      <c r="K88" s="2024"/>
      <c r="L88" s="2024"/>
      <c r="M88" s="2024"/>
      <c r="N88" s="2024"/>
      <c r="O88" s="1357" t="s">
        <v>595</v>
      </c>
      <c r="P88" s="1358" t="e">
        <f>+O87*P86</f>
        <v>#REF!</v>
      </c>
      <c r="Q88" s="884"/>
      <c r="R88" s="884"/>
      <c r="S88" s="884"/>
      <c r="T88" s="881"/>
      <c r="U88" s="884"/>
    </row>
    <row r="89" spans="2:26" ht="13.65" hidden="1" customHeight="1" x14ac:dyDescent="0.25">
      <c r="B89" s="880"/>
      <c r="C89" s="887"/>
      <c r="D89" s="884"/>
      <c r="E89" s="2024" t="s">
        <v>1367</v>
      </c>
      <c r="F89" s="2024"/>
      <c r="G89" s="2024"/>
      <c r="H89" s="2024"/>
      <c r="I89" s="2024"/>
      <c r="J89" s="2024"/>
      <c r="K89" s="2024"/>
      <c r="L89" s="2024"/>
      <c r="M89" s="2024"/>
      <c r="N89" s="2024"/>
      <c r="O89" s="2026" t="e">
        <f>+P84/(O87*P86)</f>
        <v>#REF!</v>
      </c>
      <c r="P89" s="2026"/>
      <c r="Q89" s="884"/>
      <c r="R89" s="884"/>
      <c r="S89" s="884"/>
      <c r="T89" s="881"/>
      <c r="U89" s="884"/>
    </row>
    <row r="90" spans="2:26" ht="14.1" customHeight="1" x14ac:dyDescent="0.25">
      <c r="B90" s="679"/>
      <c r="C90" s="682"/>
      <c r="D90" s="682"/>
      <c r="E90" s="682"/>
      <c r="F90" s="682"/>
      <c r="G90" s="682"/>
      <c r="H90" s="682"/>
      <c r="I90" s="682"/>
      <c r="J90" s="682"/>
      <c r="K90" s="682"/>
      <c r="L90" s="682"/>
      <c r="M90" s="682"/>
      <c r="N90" s="682"/>
      <c r="O90" s="682"/>
      <c r="P90" s="682"/>
      <c r="Q90" s="683"/>
      <c r="R90" s="683"/>
      <c r="S90" s="683"/>
      <c r="T90" s="680"/>
    </row>
  </sheetData>
  <mergeCells count="132">
    <mergeCell ref="B41:S41"/>
    <mergeCell ref="T41:U41"/>
    <mergeCell ref="B42:S42"/>
    <mergeCell ref="T42:U42"/>
    <mergeCell ref="B22:U22"/>
    <mergeCell ref="B23:S23"/>
    <mergeCell ref="T23:U23"/>
    <mergeCell ref="B24:S24"/>
    <mergeCell ref="T24:U24"/>
    <mergeCell ref="B25:S25"/>
    <mergeCell ref="T25:U25"/>
    <mergeCell ref="B39:U39"/>
    <mergeCell ref="B40:S40"/>
    <mergeCell ref="T40:U40"/>
    <mergeCell ref="J28:K28"/>
    <mergeCell ref="L28:L29"/>
    <mergeCell ref="M28:M29"/>
    <mergeCell ref="N28:N29"/>
    <mergeCell ref="S28:U28"/>
    <mergeCell ref="B30:U30"/>
    <mergeCell ref="D31:E31"/>
    <mergeCell ref="B35:R35"/>
    <mergeCell ref="B36:R36"/>
    <mergeCell ref="B37:T37"/>
    <mergeCell ref="F73:G73"/>
    <mergeCell ref="H73:I73"/>
    <mergeCell ref="F74:G74"/>
    <mergeCell ref="H74:I74"/>
    <mergeCell ref="F66:G66"/>
    <mergeCell ref="H66:I66"/>
    <mergeCell ref="F68:G68"/>
    <mergeCell ref="H68:I68"/>
    <mergeCell ref="F69:G69"/>
    <mergeCell ref="H69:I69"/>
    <mergeCell ref="F70:G70"/>
    <mergeCell ref="H70:I70"/>
    <mergeCell ref="F71:G71"/>
    <mergeCell ref="H71:I71"/>
    <mergeCell ref="F72:G72"/>
    <mergeCell ref="H72:I72"/>
    <mergeCell ref="F67:G67"/>
    <mergeCell ref="F62:G62"/>
    <mergeCell ref="H62:I62"/>
    <mergeCell ref="F63:G63"/>
    <mergeCell ref="H63:I63"/>
    <mergeCell ref="H59:I61"/>
    <mergeCell ref="J59:J60"/>
    <mergeCell ref="K59:M60"/>
    <mergeCell ref="N59:Q60"/>
    <mergeCell ref="H67:I67"/>
    <mergeCell ref="F64:G64"/>
    <mergeCell ref="H64:I64"/>
    <mergeCell ref="F65:G65"/>
    <mergeCell ref="H65:I65"/>
    <mergeCell ref="B51:S51"/>
    <mergeCell ref="R59:U59"/>
    <mergeCell ref="R60:S60"/>
    <mergeCell ref="T60:U60"/>
    <mergeCell ref="C58:U58"/>
    <mergeCell ref="B59:B61"/>
    <mergeCell ref="C59:C61"/>
    <mergeCell ref="D59:D61"/>
    <mergeCell ref="E59:E61"/>
    <mergeCell ref="F59:G61"/>
    <mergeCell ref="E2:U2"/>
    <mergeCell ref="E3:U3"/>
    <mergeCell ref="F4:U4"/>
    <mergeCell ref="B11:U11"/>
    <mergeCell ref="D12:E12"/>
    <mergeCell ref="F5:J5"/>
    <mergeCell ref="K5:O5"/>
    <mergeCell ref="P5:T5"/>
    <mergeCell ref="C7:U7"/>
    <mergeCell ref="C8:U8"/>
    <mergeCell ref="B9:B10"/>
    <mergeCell ref="C9:C10"/>
    <mergeCell ref="D9:E10"/>
    <mergeCell ref="F9:F10"/>
    <mergeCell ref="G9:I9"/>
    <mergeCell ref="J9:K9"/>
    <mergeCell ref="L9:L10"/>
    <mergeCell ref="M9:M10"/>
    <mergeCell ref="N9:N10"/>
    <mergeCell ref="S9:U9"/>
    <mergeCell ref="D13:E13"/>
    <mergeCell ref="D14:E14"/>
    <mergeCell ref="B19:R19"/>
    <mergeCell ref="B17:R17"/>
    <mergeCell ref="B16:R16"/>
    <mergeCell ref="B18:R18"/>
    <mergeCell ref="T51:U51"/>
    <mergeCell ref="B55:S55"/>
    <mergeCell ref="T55:U55"/>
    <mergeCell ref="B53:U53"/>
    <mergeCell ref="B54:S54"/>
    <mergeCell ref="T54:U54"/>
    <mergeCell ref="B20:T20"/>
    <mergeCell ref="B44:U44"/>
    <mergeCell ref="B45:S45"/>
    <mergeCell ref="T45:U45"/>
    <mergeCell ref="B46:S46"/>
    <mergeCell ref="T46:U46"/>
    <mergeCell ref="C27:U27"/>
    <mergeCell ref="B28:B29"/>
    <mergeCell ref="C28:C29"/>
    <mergeCell ref="D28:E29"/>
    <mergeCell ref="F28:F29"/>
    <mergeCell ref="G28:I28"/>
    <mergeCell ref="D32:E32"/>
    <mergeCell ref="B34:R34"/>
    <mergeCell ref="R80:U80"/>
    <mergeCell ref="E87:N87"/>
    <mergeCell ref="O87:P87"/>
    <mergeCell ref="E88:N88"/>
    <mergeCell ref="E89:N89"/>
    <mergeCell ref="O89:P89"/>
    <mergeCell ref="R76:U76"/>
    <mergeCell ref="R77:S77"/>
    <mergeCell ref="T77:U77"/>
    <mergeCell ref="E83:P83"/>
    <mergeCell ref="E84:N85"/>
    <mergeCell ref="E86:N86"/>
    <mergeCell ref="B76:Q78"/>
    <mergeCell ref="B79:Q79"/>
    <mergeCell ref="B80:Q80"/>
    <mergeCell ref="B56:S56"/>
    <mergeCell ref="T56:U56"/>
    <mergeCell ref="B47:S47"/>
    <mergeCell ref="T47:U47"/>
    <mergeCell ref="B49:U49"/>
    <mergeCell ref="B50:S50"/>
    <mergeCell ref="T50:U50"/>
  </mergeCells>
  <phoneticPr fontId="20" type="noConversion"/>
  <conditionalFormatting sqref="T47:T48 T52 S62:S74">
    <cfRule type="expression" dxfId="3" priority="14">
      <formula>"$P$8=factores!$A$68"</formula>
    </cfRule>
  </conditionalFormatting>
  <conditionalFormatting sqref="R59 S78 T75 T81:T90">
    <cfRule type="expression" dxfId="2" priority="4">
      <formula>"$P$8=factores!$A$68"</formula>
    </cfRule>
  </conditionalFormatting>
  <conditionalFormatting sqref="U61">
    <cfRule type="expression" dxfId="1" priority="3">
      <formula>"$P$8=factores!$A$68"</formula>
    </cfRule>
  </conditionalFormatting>
  <conditionalFormatting sqref="S61">
    <cfRule type="expression" dxfId="0" priority="2">
      <formula>"$P$8=factores!$A$68"</formula>
    </cfRule>
  </conditionalFormatting>
  <printOptions horizontalCentered="1"/>
  <pageMargins left="0" right="0" top="0" bottom="0.98425196850393704" header="0" footer="0"/>
  <pageSetup scale="65" fitToHeight="0" orientation="landscape" r:id="rId1"/>
  <headerFooter scaleWithDoc="0">
    <oddHeader xml:space="preserve">&amp;R&amp;8&amp;K00+000.                                                                                               </oddHeader>
    <oddFooter xml:space="preserve">&amp;L&amp;"Century Gothic,Normal"&amp;8         Código cliente: DNC-02208-ELE-MC-000001
         Código cliente: -&amp;C&amp;"Century Gothic,Normal"&amp;8
&amp;R&amp;"Century Gothic,Normal"&amp;8Página &amp;P  de &amp;N          &amp;K00+000 .
</oddFooter>
  </headerFooter>
  <rowBreaks count="1" manualBreakCount="1">
    <brk id="57" max="16383"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9"/>
  <dimension ref="A1:AD84"/>
  <sheetViews>
    <sheetView showGridLines="0" view="pageBreakPreview" topLeftCell="A2" zoomScale="145" zoomScaleNormal="100" zoomScaleSheetLayoutView="145" workbookViewId="0">
      <selection activeCell="L4" sqref="L4:N4"/>
    </sheetView>
  </sheetViews>
  <sheetFormatPr baseColWidth="10" defaultColWidth="2.5546875" defaultRowHeight="13.2" x14ac:dyDescent="0.25"/>
  <cols>
    <col min="1" max="1" width="3.88671875" style="305" customWidth="1"/>
    <col min="2" max="2" width="3.5546875" style="1183" customWidth="1"/>
    <col min="3" max="8" width="3.5546875" style="305" customWidth="1"/>
    <col min="9" max="9" width="15.88671875" style="305" customWidth="1"/>
    <col min="10" max="28" width="3.5546875" style="305" customWidth="1"/>
    <col min="29" max="29" width="4" style="305" customWidth="1"/>
    <col min="30" max="30" width="3.88671875" style="305" customWidth="1"/>
    <col min="31" max="235" width="9.109375" style="305" customWidth="1"/>
    <col min="236" max="244" width="2.5546875" style="305" customWidth="1"/>
    <col min="245" max="245" width="3.44140625" style="305" customWidth="1"/>
    <col min="246" max="246" width="5.109375" style="305" customWidth="1"/>
    <col min="247" max="16384" width="2.5546875" style="305"/>
  </cols>
  <sheetData>
    <row r="1" spans="2:29" ht="18" customHeight="1" x14ac:dyDescent="0.25">
      <c r="B1" s="1170"/>
      <c r="C1" s="773"/>
      <c r="D1" s="773"/>
      <c r="E1" s="773"/>
      <c r="F1" s="773"/>
      <c r="G1" s="773"/>
      <c r="H1" s="773"/>
      <c r="I1" s="773"/>
      <c r="J1" s="783"/>
      <c r="K1" s="784"/>
      <c r="L1" s="784"/>
      <c r="M1" s="784"/>
      <c r="N1" s="784"/>
      <c r="O1" s="784"/>
      <c r="P1" s="784"/>
      <c r="Q1" s="784"/>
      <c r="R1" s="784"/>
      <c r="S1" s="784"/>
      <c r="T1" s="784"/>
      <c r="U1" s="784"/>
      <c r="V1" s="784"/>
      <c r="W1" s="784"/>
      <c r="X1" s="784"/>
      <c r="Y1" s="784"/>
      <c r="Z1" s="784"/>
      <c r="AA1" s="784"/>
      <c r="AB1" s="784"/>
      <c r="AC1" s="784"/>
    </row>
    <row r="2" spans="2:29" ht="30" customHeight="1" x14ac:dyDescent="0.25">
      <c r="B2" s="1170"/>
      <c r="C2" s="773"/>
      <c r="D2" s="773"/>
      <c r="E2" s="773"/>
      <c r="F2" s="773"/>
      <c r="G2" s="773"/>
      <c r="H2" s="773"/>
      <c r="I2" s="773"/>
      <c r="J2" s="785"/>
      <c r="K2" s="785"/>
      <c r="L2" s="2067" t="str">
        <f>'PORTADA '!I1</f>
        <v>MEMORIA DE CÁLCULO DE CONDUCTORES, CANALIZACIONES Y CUADRO DE CARGAS - DT-58</v>
      </c>
      <c r="M2" s="2068"/>
      <c r="N2" s="2068"/>
      <c r="O2" s="2068"/>
      <c r="P2" s="2068"/>
      <c r="Q2" s="2068"/>
      <c r="R2" s="2068"/>
      <c r="S2" s="2068"/>
      <c r="T2" s="2068"/>
      <c r="U2" s="2068"/>
      <c r="V2" s="2068"/>
      <c r="W2" s="2068"/>
      <c r="X2" s="2068"/>
      <c r="Y2" s="2068"/>
      <c r="Z2" s="2068"/>
      <c r="AA2" s="2068"/>
      <c r="AB2" s="2068"/>
      <c r="AC2" s="2068"/>
    </row>
    <row r="3" spans="2:29" ht="27.75" customHeight="1" x14ac:dyDescent="0.25">
      <c r="B3" s="1170"/>
      <c r="C3" s="773"/>
      <c r="D3" s="773"/>
      <c r="E3" s="773"/>
      <c r="F3" s="773"/>
      <c r="G3" s="773"/>
      <c r="H3" s="773"/>
      <c r="I3" s="773"/>
      <c r="J3" s="785"/>
      <c r="K3" s="785"/>
      <c r="L3" s="2069" t="str">
        <f>'PORTADA '!I3</f>
        <v>Contrato No. 3037739 ODS-039: “INGENIERÍA BÁSICA DESARROLLO INTEGRAL DINA T - PALOGRANDE”</v>
      </c>
      <c r="M3" s="2069"/>
      <c r="N3" s="2069"/>
      <c r="O3" s="2069"/>
      <c r="P3" s="2069"/>
      <c r="Q3" s="2069"/>
      <c r="R3" s="2069"/>
      <c r="S3" s="2069"/>
      <c r="T3" s="2069"/>
      <c r="U3" s="2069"/>
      <c r="V3" s="2069"/>
      <c r="W3" s="2069"/>
      <c r="X3" s="2069"/>
      <c r="Y3" s="2069"/>
      <c r="Z3" s="2069"/>
      <c r="AA3" s="2069"/>
      <c r="AB3" s="2069"/>
      <c r="AC3" s="2069"/>
    </row>
    <row r="4" spans="2:29" ht="18" customHeight="1" x14ac:dyDescent="0.25">
      <c r="B4" s="1170"/>
      <c r="C4" s="773"/>
      <c r="D4" s="773"/>
      <c r="E4" s="773"/>
      <c r="F4" s="773"/>
      <c r="G4" s="773"/>
      <c r="H4" s="773"/>
      <c r="I4" s="773"/>
      <c r="J4" s="773"/>
      <c r="K4" s="773"/>
      <c r="L4" s="2069" t="s">
        <v>3</v>
      </c>
      <c r="M4" s="2069"/>
      <c r="N4" s="2069"/>
      <c r="O4" s="2069">
        <f>'PORTADA '!R6</f>
        <v>0</v>
      </c>
      <c r="P4" s="2069"/>
      <c r="Q4" s="2069"/>
      <c r="R4" s="2069"/>
      <c r="S4" s="2069"/>
      <c r="T4" s="2069"/>
      <c r="U4" s="2069"/>
      <c r="V4" s="2069"/>
      <c r="W4" s="2069"/>
      <c r="X4" s="2069"/>
      <c r="Y4" s="2069"/>
      <c r="Z4" s="2069"/>
      <c r="AA4" s="2069"/>
      <c r="AB4" s="2069"/>
      <c r="AC4" s="2069"/>
    </row>
    <row r="5" spans="2:29" ht="18" customHeight="1" x14ac:dyDescent="0.25">
      <c r="B5" s="1170"/>
      <c r="C5" s="773"/>
      <c r="D5" s="773"/>
      <c r="E5" s="773"/>
      <c r="F5" s="773"/>
      <c r="G5" s="773"/>
      <c r="H5" s="773"/>
      <c r="I5" s="773"/>
      <c r="J5" s="786"/>
      <c r="K5" s="773"/>
      <c r="L5" s="2069" t="s">
        <v>4</v>
      </c>
      <c r="M5" s="2069"/>
      <c r="N5" s="2069"/>
      <c r="O5" s="2048">
        <f>'PORTADA '!X6</f>
        <v>46007</v>
      </c>
      <c r="P5" s="2048"/>
      <c r="Q5" s="2048"/>
      <c r="R5" s="2048"/>
      <c r="S5" s="2048"/>
      <c r="T5" s="2049"/>
      <c r="U5" s="2049"/>
      <c r="V5" s="2049"/>
      <c r="W5" s="2049"/>
      <c r="X5" s="1024"/>
      <c r="Y5" s="2048"/>
      <c r="Z5" s="2049"/>
      <c r="AA5" s="2049"/>
      <c r="AB5" s="2049"/>
      <c r="AC5" s="2049"/>
    </row>
    <row r="6" spans="2:29" ht="0.9" customHeight="1" x14ac:dyDescent="0.25"/>
    <row r="7" spans="2:29" s="335" customFormat="1" ht="17.25" customHeight="1" x14ac:dyDescent="0.25">
      <c r="B7" s="1171" t="s">
        <v>1371</v>
      </c>
      <c r="C7" s="959"/>
      <c r="D7" s="960"/>
      <c r="E7" s="961"/>
      <c r="F7" s="962"/>
      <c r="G7" s="962"/>
      <c r="H7" s="962"/>
      <c r="I7" s="962"/>
      <c r="J7" s="962"/>
      <c r="K7" s="962"/>
      <c r="L7" s="963"/>
      <c r="M7" s="964"/>
      <c r="N7" s="964"/>
      <c r="O7" s="964"/>
      <c r="P7" s="964"/>
      <c r="Q7" s="964"/>
      <c r="R7" s="964"/>
      <c r="S7" s="964"/>
      <c r="T7" s="964"/>
      <c r="U7" s="964"/>
      <c r="V7" s="964"/>
      <c r="W7" s="964"/>
      <c r="X7" s="964"/>
      <c r="Y7" s="964"/>
      <c r="Z7" s="964"/>
      <c r="AA7" s="964"/>
      <c r="AB7" s="964"/>
      <c r="AC7" s="964"/>
    </row>
    <row r="8" spans="2:29" s="335" customFormat="1" ht="8.4" customHeight="1" x14ac:dyDescent="0.25">
      <c r="B8" s="1171"/>
      <c r="C8" s="959"/>
      <c r="D8" s="960"/>
      <c r="E8" s="961"/>
      <c r="F8" s="962"/>
      <c r="G8" s="962"/>
      <c r="H8" s="962"/>
      <c r="I8" s="962"/>
      <c r="J8" s="962"/>
      <c r="K8" s="962"/>
      <c r="L8" s="963"/>
      <c r="M8" s="964"/>
      <c r="N8" s="964"/>
      <c r="O8" s="964"/>
      <c r="P8" s="964"/>
      <c r="Q8" s="964"/>
      <c r="R8" s="964"/>
      <c r="S8" s="964"/>
      <c r="T8" s="964"/>
      <c r="U8" s="964"/>
      <c r="V8" s="964"/>
      <c r="W8" s="964"/>
      <c r="X8" s="964"/>
      <c r="Y8" s="964"/>
      <c r="Z8" s="964"/>
      <c r="AA8" s="964"/>
      <c r="AB8" s="964"/>
      <c r="AC8" s="964"/>
    </row>
    <row r="9" spans="2:29" s="666" customFormat="1" ht="15" customHeight="1" x14ac:dyDescent="0.25">
      <c r="B9" s="1172" t="s">
        <v>1372</v>
      </c>
      <c r="C9" s="2070" t="s">
        <v>1373</v>
      </c>
      <c r="D9" s="2070"/>
      <c r="E9" s="2070"/>
      <c r="F9" s="2070"/>
      <c r="G9" s="2070"/>
      <c r="H9" s="2070"/>
      <c r="I9" s="2070"/>
      <c r="J9" s="2070"/>
      <c r="K9" s="2070"/>
      <c r="L9" s="2070"/>
      <c r="M9" s="2070"/>
      <c r="N9" s="2070"/>
      <c r="O9" s="2070"/>
      <c r="P9" s="2070"/>
      <c r="Q9" s="2070"/>
      <c r="R9" s="2070"/>
      <c r="S9" s="2070"/>
      <c r="T9" s="2070"/>
      <c r="U9" s="2070"/>
      <c r="V9" s="2070"/>
      <c r="W9" s="2070"/>
      <c r="X9" s="2070"/>
      <c r="Y9" s="2070"/>
      <c r="Z9" s="2070"/>
      <c r="AA9" s="2070"/>
      <c r="AB9" s="2070"/>
      <c r="AC9" s="2070"/>
    </row>
    <row r="10" spans="2:29" s="666" customFormat="1" ht="12.75" customHeight="1" x14ac:dyDescent="0.25">
      <c r="B10" s="1172"/>
      <c r="C10" s="2070"/>
      <c r="D10" s="2070"/>
      <c r="E10" s="2070"/>
      <c r="F10" s="2070"/>
      <c r="G10" s="2070"/>
      <c r="H10" s="2070"/>
      <c r="I10" s="2070"/>
      <c r="J10" s="2070"/>
      <c r="K10" s="2070"/>
      <c r="L10" s="2070"/>
      <c r="M10" s="2070"/>
      <c r="N10" s="2070"/>
      <c r="O10" s="2070"/>
      <c r="P10" s="2070"/>
      <c r="Q10" s="2070"/>
      <c r="R10" s="2070"/>
      <c r="S10" s="2070"/>
      <c r="T10" s="2070"/>
      <c r="U10" s="2070"/>
      <c r="V10" s="2070"/>
      <c r="W10" s="2070"/>
      <c r="X10" s="2070"/>
      <c r="Y10" s="2070"/>
      <c r="Z10" s="2070"/>
      <c r="AA10" s="2070"/>
      <c r="AB10" s="2070"/>
      <c r="AC10" s="2070"/>
    </row>
    <row r="11" spans="2:29" s="312" customFormat="1" ht="6.75" customHeight="1" x14ac:dyDescent="0.25">
      <c r="B11" s="2053"/>
      <c r="C11" s="2053"/>
      <c r="D11" s="2053"/>
      <c r="E11" s="2053"/>
      <c r="F11" s="2053"/>
      <c r="G11" s="2053"/>
      <c r="H11" s="2053"/>
      <c r="I11" s="2053"/>
      <c r="J11" s="2053"/>
      <c r="K11" s="2053"/>
      <c r="L11" s="2053"/>
      <c r="M11" s="2053"/>
      <c r="N11" s="2053"/>
      <c r="O11" s="2053"/>
      <c r="P11" s="2053"/>
      <c r="Q11" s="2053"/>
      <c r="R11" s="2053"/>
      <c r="S11" s="2053"/>
      <c r="T11" s="2053"/>
      <c r="U11" s="2053"/>
      <c r="V11" s="2053"/>
      <c r="W11" s="2053"/>
      <c r="X11" s="2053"/>
      <c r="Y11" s="2053"/>
      <c r="Z11" s="2053"/>
      <c r="AA11" s="2053"/>
      <c r="AB11" s="2053"/>
      <c r="AC11" s="2053"/>
    </row>
    <row r="12" spans="2:29" s="666" customFormat="1" ht="27" customHeight="1" x14ac:dyDescent="0.25">
      <c r="B12" s="1172" t="s">
        <v>1374</v>
      </c>
      <c r="C12" s="2070" t="s">
        <v>1375</v>
      </c>
      <c r="D12" s="2070"/>
      <c r="E12" s="2070"/>
      <c r="F12" s="2070"/>
      <c r="G12" s="2070"/>
      <c r="H12" s="2070"/>
      <c r="I12" s="2070"/>
      <c r="J12" s="2070"/>
      <c r="K12" s="2070"/>
      <c r="L12" s="2070"/>
      <c r="M12" s="2070"/>
      <c r="N12" s="2070"/>
      <c r="O12" s="2070"/>
      <c r="P12" s="2070"/>
      <c r="Q12" s="2070"/>
      <c r="R12" s="2070"/>
      <c r="S12" s="2070"/>
      <c r="T12" s="2070"/>
      <c r="U12" s="2070"/>
      <c r="V12" s="2070"/>
      <c r="W12" s="2070"/>
      <c r="X12" s="2070"/>
      <c r="Y12" s="2070"/>
      <c r="Z12" s="2070"/>
      <c r="AA12" s="2070"/>
      <c r="AB12" s="2070"/>
      <c r="AC12" s="2070"/>
    </row>
    <row r="13" spans="2:29" s="312" customFormat="1" ht="6.75" customHeight="1" x14ac:dyDescent="0.25">
      <c r="B13" s="2053"/>
      <c r="C13" s="2053"/>
      <c r="D13" s="2053"/>
      <c r="E13" s="2053"/>
      <c r="F13" s="2053"/>
      <c r="G13" s="2053"/>
      <c r="H13" s="2053"/>
      <c r="I13" s="2053"/>
      <c r="J13" s="2053"/>
      <c r="K13" s="2053"/>
      <c r="L13" s="2053"/>
      <c r="M13" s="2053"/>
      <c r="N13" s="2053"/>
      <c r="O13" s="2053"/>
      <c r="P13" s="2053"/>
      <c r="Q13" s="2053"/>
      <c r="R13" s="2053"/>
      <c r="S13" s="2053"/>
      <c r="T13" s="2053"/>
      <c r="U13" s="2053"/>
      <c r="V13" s="2053"/>
      <c r="W13" s="2053"/>
      <c r="X13" s="2053"/>
      <c r="Y13" s="2053"/>
      <c r="Z13" s="2053"/>
      <c r="AA13" s="2053"/>
      <c r="AB13" s="2053"/>
      <c r="AC13" s="2053"/>
    </row>
    <row r="14" spans="2:29" s="666" customFormat="1" ht="18" customHeight="1" x14ac:dyDescent="0.25">
      <c r="B14" s="1172" t="s">
        <v>1376</v>
      </c>
      <c r="C14" s="2070" t="s">
        <v>2011</v>
      </c>
      <c r="D14" s="2070"/>
      <c r="E14" s="2070"/>
      <c r="F14" s="2070"/>
      <c r="G14" s="2070"/>
      <c r="H14" s="2070"/>
      <c r="I14" s="2070"/>
      <c r="J14" s="2070"/>
      <c r="K14" s="2070"/>
      <c r="L14" s="2070"/>
      <c r="M14" s="2070"/>
      <c r="N14" s="2070"/>
      <c r="O14" s="2070"/>
      <c r="P14" s="2070"/>
      <c r="Q14" s="2070"/>
      <c r="R14" s="2070"/>
      <c r="S14" s="2070"/>
      <c r="T14" s="2070"/>
      <c r="U14" s="2070"/>
      <c r="V14" s="2070"/>
      <c r="W14" s="2070"/>
      <c r="X14" s="2070"/>
      <c r="Y14" s="2070"/>
      <c r="Z14" s="2070"/>
      <c r="AA14" s="2070"/>
      <c r="AB14" s="2070"/>
      <c r="AC14" s="2070"/>
    </row>
    <row r="15" spans="2:29" s="666" customFormat="1" ht="23.25" customHeight="1" x14ac:dyDescent="0.25">
      <c r="B15" s="1172"/>
      <c r="C15" s="2070"/>
      <c r="D15" s="2070"/>
      <c r="E15" s="2070"/>
      <c r="F15" s="2070"/>
      <c r="G15" s="2070"/>
      <c r="H15" s="2070"/>
      <c r="I15" s="2070"/>
      <c r="J15" s="2070"/>
      <c r="K15" s="2070"/>
      <c r="L15" s="2070"/>
      <c r="M15" s="2070"/>
      <c r="N15" s="2070"/>
      <c r="O15" s="2070"/>
      <c r="P15" s="2070"/>
      <c r="Q15" s="2070"/>
      <c r="R15" s="2070"/>
      <c r="S15" s="2070"/>
      <c r="T15" s="2070"/>
      <c r="U15" s="2070"/>
      <c r="V15" s="2070"/>
      <c r="W15" s="2070"/>
      <c r="X15" s="2070"/>
      <c r="Y15" s="2070"/>
      <c r="Z15" s="2070"/>
      <c r="AA15" s="2070"/>
      <c r="AB15" s="2070"/>
      <c r="AC15" s="2070"/>
    </row>
    <row r="16" spans="2:29" s="312" customFormat="1" ht="6.75" customHeight="1" x14ac:dyDescent="0.25">
      <c r="B16" s="2053"/>
      <c r="C16" s="2053"/>
      <c r="D16" s="2053"/>
      <c r="E16" s="2053"/>
      <c r="F16" s="2053"/>
      <c r="G16" s="2053"/>
      <c r="H16" s="2053"/>
      <c r="I16" s="2053"/>
      <c r="J16" s="2053"/>
      <c r="K16" s="2053"/>
      <c r="L16" s="2053"/>
      <c r="M16" s="2053"/>
      <c r="N16" s="2053"/>
      <c r="O16" s="2053"/>
      <c r="P16" s="2053"/>
      <c r="Q16" s="2053"/>
      <c r="R16" s="2053"/>
      <c r="S16" s="2053"/>
      <c r="T16" s="2053"/>
      <c r="U16" s="2053"/>
      <c r="V16" s="2053"/>
      <c r="W16" s="2053"/>
      <c r="X16" s="2053"/>
      <c r="Y16" s="2053"/>
      <c r="Z16" s="2053"/>
      <c r="AA16" s="2053"/>
      <c r="AB16" s="2053"/>
      <c r="AC16" s="2053"/>
    </row>
    <row r="17" spans="2:29" s="666" customFormat="1" x14ac:dyDescent="0.25">
      <c r="B17" s="1172" t="s">
        <v>1377</v>
      </c>
      <c r="C17" s="2060" t="s">
        <v>1965</v>
      </c>
      <c r="D17" s="2060"/>
      <c r="E17" s="2060"/>
      <c r="F17" s="2060"/>
      <c r="G17" s="2060"/>
      <c r="H17" s="2060"/>
      <c r="I17" s="2060"/>
      <c r="J17" s="2060"/>
      <c r="K17" s="2060"/>
      <c r="L17" s="2060"/>
      <c r="M17" s="2060"/>
      <c r="N17" s="2060"/>
      <c r="O17" s="2060"/>
      <c r="P17" s="2060"/>
      <c r="Q17" s="2060"/>
      <c r="R17" s="2060"/>
      <c r="S17" s="2060"/>
      <c r="T17" s="2060"/>
      <c r="U17" s="2060"/>
      <c r="V17" s="2060"/>
      <c r="W17" s="2060"/>
      <c r="X17" s="2060"/>
      <c r="Y17" s="2060"/>
      <c r="Z17" s="2060"/>
      <c r="AA17" s="2060"/>
      <c r="AB17" s="2060"/>
      <c r="AC17" s="2060"/>
    </row>
    <row r="18" spans="2:29" s="666" customFormat="1" x14ac:dyDescent="0.25">
      <c r="B18" s="1172"/>
      <c r="C18" s="2060"/>
      <c r="D18" s="2060"/>
      <c r="E18" s="2060"/>
      <c r="F18" s="2060"/>
      <c r="G18" s="2060"/>
      <c r="H18" s="2060"/>
      <c r="I18" s="2060"/>
      <c r="J18" s="2060"/>
      <c r="K18" s="2060"/>
      <c r="L18" s="2060"/>
      <c r="M18" s="2060"/>
      <c r="N18" s="2060"/>
      <c r="O18" s="2060"/>
      <c r="P18" s="2060"/>
      <c r="Q18" s="2060"/>
      <c r="R18" s="2060"/>
      <c r="S18" s="2060"/>
      <c r="T18" s="2060"/>
      <c r="U18" s="2060"/>
      <c r="V18" s="2060"/>
      <c r="W18" s="2060"/>
      <c r="X18" s="2060"/>
      <c r="Y18" s="2060"/>
      <c r="Z18" s="2060"/>
      <c r="AA18" s="2060"/>
      <c r="AB18" s="2060"/>
      <c r="AC18" s="2060"/>
    </row>
    <row r="19" spans="2:29" s="312" customFormat="1" ht="6.75" customHeight="1" x14ac:dyDescent="0.25">
      <c r="B19" s="2053"/>
      <c r="C19" s="2053"/>
      <c r="D19" s="2053"/>
      <c r="E19" s="2053"/>
      <c r="F19" s="2053"/>
      <c r="G19" s="2053"/>
      <c r="H19" s="2053"/>
      <c r="I19" s="2053"/>
      <c r="J19" s="2053"/>
      <c r="K19" s="2053"/>
      <c r="L19" s="2053"/>
      <c r="M19" s="2053"/>
      <c r="N19" s="2053"/>
      <c r="O19" s="2053"/>
      <c r="P19" s="2053"/>
      <c r="Q19" s="2053"/>
      <c r="R19" s="2053"/>
      <c r="S19" s="2053"/>
      <c r="T19" s="2053"/>
      <c r="U19" s="2053"/>
      <c r="V19" s="2053"/>
      <c r="W19" s="2053"/>
      <c r="X19" s="2053"/>
      <c r="Y19" s="2053"/>
      <c r="Z19" s="2053"/>
      <c r="AA19" s="2053"/>
      <c r="AB19" s="2053"/>
      <c r="AC19" s="2053"/>
    </row>
    <row r="20" spans="2:29" s="666" customFormat="1" ht="21" customHeight="1" x14ac:dyDescent="0.25">
      <c r="B20" s="1172" t="s">
        <v>1378</v>
      </c>
      <c r="C20" s="2054" t="s">
        <v>1379</v>
      </c>
      <c r="D20" s="2054"/>
      <c r="E20" s="2054"/>
      <c r="F20" s="2054"/>
      <c r="G20" s="2054"/>
      <c r="H20" s="2054"/>
      <c r="I20" s="2054"/>
      <c r="J20" s="2054"/>
      <c r="K20" s="2054"/>
      <c r="L20" s="2054"/>
      <c r="M20" s="2054"/>
      <c r="N20" s="2054"/>
      <c r="O20" s="2054"/>
      <c r="P20" s="2054"/>
      <c r="Q20" s="2054"/>
      <c r="R20" s="2054"/>
      <c r="S20" s="2054"/>
      <c r="T20" s="2054"/>
      <c r="U20" s="2054"/>
      <c r="V20" s="2054"/>
      <c r="W20" s="2054"/>
      <c r="X20" s="2054"/>
      <c r="Y20" s="2054"/>
      <c r="Z20" s="2054"/>
      <c r="AA20" s="2054"/>
      <c r="AB20" s="2054"/>
      <c r="AC20" s="2054"/>
    </row>
    <row r="21" spans="2:29" s="666" customFormat="1" ht="21" customHeight="1" x14ac:dyDescent="0.25">
      <c r="B21" s="1172"/>
      <c r="C21" s="2054"/>
      <c r="D21" s="2054"/>
      <c r="E21" s="2054"/>
      <c r="F21" s="2054"/>
      <c r="G21" s="2054"/>
      <c r="H21" s="2054"/>
      <c r="I21" s="2054"/>
      <c r="J21" s="2054"/>
      <c r="K21" s="2054"/>
      <c r="L21" s="2054"/>
      <c r="M21" s="2054"/>
      <c r="N21" s="2054"/>
      <c r="O21" s="2054"/>
      <c r="P21" s="2054"/>
      <c r="Q21" s="2054"/>
      <c r="R21" s="2054"/>
      <c r="S21" s="2054"/>
      <c r="T21" s="2054"/>
      <c r="U21" s="2054"/>
      <c r="V21" s="2054"/>
      <c r="W21" s="2054"/>
      <c r="X21" s="2054"/>
      <c r="Y21" s="2054"/>
      <c r="Z21" s="2054"/>
      <c r="AA21" s="2054"/>
      <c r="AB21" s="2054"/>
      <c r="AC21" s="2054"/>
    </row>
    <row r="22" spans="2:29" s="312" customFormat="1" ht="6.75" customHeight="1" x14ac:dyDescent="0.25">
      <c r="B22" s="2053"/>
      <c r="C22" s="2053"/>
      <c r="D22" s="2053"/>
      <c r="E22" s="2053"/>
      <c r="F22" s="2053"/>
      <c r="G22" s="2053"/>
      <c r="H22" s="2053"/>
      <c r="I22" s="2053"/>
      <c r="J22" s="2053"/>
      <c r="K22" s="2053"/>
      <c r="L22" s="2053"/>
      <c r="M22" s="2053"/>
      <c r="N22" s="2053"/>
      <c r="O22" s="2053"/>
      <c r="P22" s="2053"/>
      <c r="Q22" s="2053"/>
      <c r="R22" s="2053"/>
      <c r="S22" s="2053"/>
      <c r="T22" s="2053"/>
      <c r="U22" s="2053"/>
      <c r="V22" s="2053"/>
      <c r="W22" s="2053"/>
      <c r="X22" s="2053"/>
      <c r="Y22" s="2053"/>
      <c r="Z22" s="2053"/>
      <c r="AA22" s="2053"/>
      <c r="AB22" s="2053"/>
      <c r="AC22" s="2053"/>
    </row>
    <row r="23" spans="2:29" s="666" customFormat="1" x14ac:dyDescent="0.25">
      <c r="B23" s="1172" t="s">
        <v>1380</v>
      </c>
      <c r="C23" s="2055" t="s">
        <v>1381</v>
      </c>
      <c r="D23" s="2055"/>
      <c r="E23" s="2055"/>
      <c r="F23" s="2055"/>
      <c r="G23" s="2055"/>
      <c r="H23" s="2055"/>
      <c r="I23" s="2055"/>
      <c r="J23" s="2055"/>
      <c r="K23" s="2055"/>
      <c r="L23" s="2055"/>
      <c r="M23" s="2055"/>
      <c r="N23" s="2055"/>
      <c r="O23" s="2055"/>
      <c r="P23" s="2055"/>
      <c r="Q23" s="2055"/>
      <c r="R23" s="2055"/>
      <c r="S23" s="2055"/>
      <c r="T23" s="2055"/>
      <c r="U23" s="2055"/>
      <c r="V23" s="2055"/>
      <c r="W23" s="2055"/>
      <c r="X23" s="2055"/>
      <c r="Y23" s="2055"/>
      <c r="Z23" s="2055"/>
      <c r="AA23" s="2055"/>
      <c r="AB23" s="2055"/>
      <c r="AC23" s="2055"/>
    </row>
    <row r="24" spans="2:29" s="666" customFormat="1" ht="18.75" customHeight="1" x14ac:dyDescent="0.25">
      <c r="B24" s="1172"/>
      <c r="C24" s="2056" t="s">
        <v>1382</v>
      </c>
      <c r="D24" s="2056"/>
      <c r="E24" s="2056"/>
      <c r="F24" s="2056"/>
      <c r="G24" s="2056"/>
      <c r="H24" s="2056"/>
      <c r="I24" s="2056"/>
      <c r="J24" s="2056"/>
      <c r="K24" s="2056"/>
      <c r="L24" s="2056"/>
      <c r="M24" s="2056"/>
      <c r="N24" s="2056"/>
      <c r="O24" s="2056"/>
      <c r="P24" s="2056"/>
      <c r="Q24" s="2056"/>
      <c r="R24" s="2056"/>
      <c r="S24" s="2056"/>
      <c r="T24" s="2056"/>
      <c r="U24" s="2056"/>
      <c r="V24" s="2056"/>
      <c r="W24" s="2056"/>
      <c r="X24" s="2056"/>
      <c r="Y24" s="2056"/>
      <c r="Z24" s="2056"/>
      <c r="AA24" s="2056"/>
      <c r="AB24" s="2056"/>
      <c r="AC24" s="2056"/>
    </row>
    <row r="25" spans="2:29" s="666" customFormat="1" ht="15" customHeight="1" x14ac:dyDescent="0.25">
      <c r="B25" s="1172"/>
      <c r="C25" s="2060" t="s">
        <v>1383</v>
      </c>
      <c r="D25" s="2060"/>
      <c r="E25" s="2060"/>
      <c r="F25" s="2060"/>
      <c r="G25" s="2060"/>
      <c r="H25" s="2060"/>
      <c r="I25" s="2060"/>
      <c r="J25" s="2060"/>
      <c r="K25" s="2060"/>
      <c r="L25" s="2060"/>
      <c r="M25" s="2060"/>
      <c r="N25" s="2060"/>
      <c r="O25" s="2060"/>
      <c r="P25" s="2060"/>
      <c r="Q25" s="2060"/>
      <c r="R25" s="2060"/>
      <c r="S25" s="2060"/>
      <c r="T25" s="2060"/>
      <c r="U25" s="2060"/>
      <c r="V25" s="2060"/>
      <c r="W25" s="2060"/>
      <c r="X25" s="2060"/>
      <c r="Y25" s="2060"/>
      <c r="Z25" s="2060"/>
      <c r="AA25" s="2060"/>
      <c r="AB25" s="2060"/>
      <c r="AC25" s="2060"/>
    </row>
    <row r="26" spans="2:29" s="666" customFormat="1" ht="15" customHeight="1" x14ac:dyDescent="0.25">
      <c r="B26" s="1172"/>
      <c r="C26" s="2060"/>
      <c r="D26" s="2060"/>
      <c r="E26" s="2060"/>
      <c r="F26" s="2060"/>
      <c r="G26" s="2060"/>
      <c r="H26" s="2060"/>
      <c r="I26" s="2060"/>
      <c r="J26" s="2060"/>
      <c r="K26" s="2060"/>
      <c r="L26" s="2060"/>
      <c r="M26" s="2060"/>
      <c r="N26" s="2060"/>
      <c r="O26" s="2060"/>
      <c r="P26" s="2060"/>
      <c r="Q26" s="2060"/>
      <c r="R26" s="2060"/>
      <c r="S26" s="2060"/>
      <c r="T26" s="2060"/>
      <c r="U26" s="2060"/>
      <c r="V26" s="2060"/>
      <c r="W26" s="2060"/>
      <c r="X26" s="2060"/>
      <c r="Y26" s="2060"/>
      <c r="Z26" s="2060"/>
      <c r="AA26" s="2060"/>
      <c r="AB26" s="2060"/>
      <c r="AC26" s="2060"/>
    </row>
    <row r="27" spans="2:29" s="666" customFormat="1" ht="13.35" customHeight="1" x14ac:dyDescent="0.25">
      <c r="B27" s="1172"/>
      <c r="C27" s="966"/>
      <c r="D27" s="967"/>
      <c r="E27" s="2056" t="s">
        <v>1384</v>
      </c>
      <c r="F27" s="2056"/>
      <c r="G27" s="2056"/>
      <c r="H27" s="2056"/>
      <c r="I27" s="2056"/>
      <c r="J27" s="2071">
        <v>1</v>
      </c>
      <c r="K27" s="2071"/>
      <c r="L27" s="968"/>
      <c r="M27" s="966"/>
      <c r="N27" s="966"/>
      <c r="O27" s="966"/>
      <c r="P27" s="966"/>
      <c r="Q27" s="965"/>
      <c r="R27" s="965"/>
      <c r="S27" s="965"/>
      <c r="T27" s="965"/>
      <c r="U27" s="965"/>
      <c r="V27" s="965"/>
      <c r="W27" s="965"/>
      <c r="X27" s="965"/>
      <c r="Y27" s="965"/>
      <c r="Z27" s="965"/>
      <c r="AA27" s="965"/>
      <c r="AB27" s="965"/>
      <c r="AC27" s="965"/>
    </row>
    <row r="28" spans="2:29" s="666" customFormat="1" ht="13.65" customHeight="1" x14ac:dyDescent="0.25">
      <c r="B28" s="1172"/>
      <c r="C28" s="966"/>
      <c r="D28" s="967"/>
      <c r="E28" s="2072" t="s">
        <v>1385</v>
      </c>
      <c r="F28" s="2072"/>
      <c r="G28" s="2072"/>
      <c r="H28" s="2072"/>
      <c r="I28" s="2072"/>
      <c r="J28" s="2071">
        <v>0.5</v>
      </c>
      <c r="K28" s="2071"/>
      <c r="L28" s="968"/>
      <c r="M28" s="966"/>
      <c r="N28" s="966"/>
      <c r="O28" s="966"/>
      <c r="P28" s="966"/>
      <c r="Q28" s="965"/>
      <c r="R28" s="965"/>
      <c r="S28" s="965"/>
      <c r="T28" s="965"/>
      <c r="U28" s="965"/>
      <c r="V28" s="965"/>
      <c r="W28" s="965"/>
      <c r="X28" s="965"/>
      <c r="Y28" s="965"/>
      <c r="Z28" s="965"/>
      <c r="AA28" s="965"/>
      <c r="AB28" s="965"/>
      <c r="AC28" s="965"/>
    </row>
    <row r="29" spans="2:29" s="666" customFormat="1" ht="15.75" customHeight="1" x14ac:dyDescent="0.25">
      <c r="B29" s="1172"/>
      <c r="C29" s="2054" t="s">
        <v>1386</v>
      </c>
      <c r="D29" s="2054"/>
      <c r="E29" s="2054"/>
      <c r="F29" s="2054"/>
      <c r="G29" s="2054"/>
      <c r="H29" s="2054"/>
      <c r="I29" s="2054"/>
      <c r="J29" s="2054"/>
      <c r="K29" s="2054"/>
      <c r="L29" s="2054"/>
      <c r="M29" s="2054"/>
      <c r="N29" s="2054"/>
      <c r="O29" s="2054"/>
      <c r="P29" s="2054"/>
      <c r="Q29" s="2054"/>
      <c r="R29" s="2054"/>
      <c r="S29" s="2054"/>
      <c r="T29" s="2054"/>
      <c r="U29" s="2054"/>
      <c r="V29" s="2054"/>
      <c r="W29" s="2054"/>
      <c r="X29" s="2054"/>
      <c r="Y29" s="2054"/>
      <c r="Z29" s="2054"/>
      <c r="AA29" s="2054"/>
      <c r="AB29" s="2054"/>
      <c r="AC29" s="2054"/>
    </row>
    <row r="30" spans="2:29" s="666" customFormat="1" ht="12.75" customHeight="1" x14ac:dyDescent="0.25">
      <c r="B30" s="1172"/>
      <c r="C30" s="2056" t="s">
        <v>1387</v>
      </c>
      <c r="D30" s="2056"/>
      <c r="E30" s="2056"/>
      <c r="F30" s="2056"/>
      <c r="G30" s="2056"/>
      <c r="H30" s="2056"/>
      <c r="I30" s="2056"/>
      <c r="J30" s="2056"/>
      <c r="K30" s="2056"/>
      <c r="L30" s="2056"/>
      <c r="M30" s="2056"/>
      <c r="N30" s="2056"/>
      <c r="O30" s="2056"/>
      <c r="P30" s="2056"/>
      <c r="Q30" s="2056"/>
      <c r="R30" s="2056"/>
      <c r="S30" s="2056"/>
      <c r="T30" s="2056"/>
      <c r="U30" s="2056"/>
      <c r="V30" s="2056"/>
      <c r="W30" s="2056"/>
      <c r="X30" s="2056"/>
      <c r="Y30" s="2056"/>
      <c r="Z30" s="2056"/>
      <c r="AA30" s="2056"/>
      <c r="AB30" s="2056"/>
      <c r="AC30" s="2056"/>
    </row>
    <row r="31" spans="2:29" s="312" customFormat="1" ht="6.75" customHeight="1" x14ac:dyDescent="0.25">
      <c r="B31" s="2053"/>
      <c r="C31" s="2053"/>
      <c r="D31" s="2053"/>
      <c r="E31" s="2053"/>
      <c r="F31" s="2053"/>
      <c r="G31" s="2053"/>
      <c r="H31" s="2053"/>
      <c r="I31" s="2053"/>
      <c r="J31" s="2053"/>
      <c r="K31" s="2053"/>
      <c r="L31" s="2053"/>
      <c r="M31" s="2053"/>
      <c r="N31" s="2053"/>
      <c r="O31" s="2053"/>
      <c r="P31" s="2053"/>
      <c r="Q31" s="2053"/>
      <c r="R31" s="2053"/>
      <c r="S31" s="2053"/>
      <c r="T31" s="2053"/>
      <c r="U31" s="2053"/>
      <c r="V31" s="2053"/>
      <c r="W31" s="2053"/>
      <c r="X31" s="2053"/>
      <c r="Y31" s="2053"/>
      <c r="Z31" s="2053"/>
      <c r="AA31" s="2053"/>
      <c r="AB31" s="2053"/>
      <c r="AC31" s="2053"/>
    </row>
    <row r="32" spans="2:29" s="666" customFormat="1" ht="14.4" customHeight="1" x14ac:dyDescent="0.25">
      <c r="B32" s="1173" t="s">
        <v>1388</v>
      </c>
      <c r="C32" s="2057" t="s">
        <v>1947</v>
      </c>
      <c r="D32" s="2057"/>
      <c r="E32" s="2057"/>
      <c r="F32" s="2057"/>
      <c r="G32" s="2057"/>
      <c r="H32" s="2057"/>
      <c r="I32" s="2057"/>
      <c r="J32" s="2057"/>
      <c r="K32" s="2057"/>
      <c r="L32" s="2057"/>
      <c r="M32" s="2057"/>
      <c r="N32" s="2057"/>
      <c r="O32" s="2057"/>
      <c r="P32" s="2057"/>
      <c r="Q32" s="2057"/>
      <c r="R32" s="2057"/>
      <c r="S32" s="2057"/>
      <c r="T32" s="2057"/>
      <c r="U32" s="2057"/>
      <c r="V32" s="2057"/>
      <c r="W32" s="2057"/>
      <c r="X32" s="2057"/>
      <c r="Y32" s="2057"/>
      <c r="Z32" s="2057"/>
      <c r="AA32" s="2057"/>
      <c r="AB32" s="2057"/>
      <c r="AC32" s="2057"/>
    </row>
    <row r="33" spans="2:29" s="312" customFormat="1" ht="6.75" customHeight="1" x14ac:dyDescent="0.25">
      <c r="B33" s="2053"/>
      <c r="C33" s="2053"/>
      <c r="D33" s="2053"/>
      <c r="E33" s="2053"/>
      <c r="F33" s="2053"/>
      <c r="G33" s="2053"/>
      <c r="H33" s="2053"/>
      <c r="I33" s="2053"/>
      <c r="J33" s="2053"/>
      <c r="K33" s="2053"/>
      <c r="L33" s="2053"/>
      <c r="M33" s="2053"/>
      <c r="N33" s="2053"/>
      <c r="O33" s="2053"/>
      <c r="P33" s="2053"/>
      <c r="Q33" s="2053"/>
      <c r="R33" s="2053"/>
      <c r="S33" s="2053"/>
      <c r="T33" s="2053"/>
      <c r="U33" s="2053"/>
      <c r="V33" s="2053"/>
      <c r="W33" s="2053"/>
      <c r="X33" s="2053"/>
      <c r="Y33" s="2053"/>
      <c r="Z33" s="2053"/>
      <c r="AA33" s="2053"/>
      <c r="AB33" s="2053"/>
      <c r="AC33" s="2053"/>
    </row>
    <row r="34" spans="2:29" s="666" customFormat="1" ht="23.25" customHeight="1" x14ac:dyDescent="0.25">
      <c r="B34" s="1173" t="s">
        <v>1389</v>
      </c>
      <c r="C34" s="2055" t="s">
        <v>1390</v>
      </c>
      <c r="D34" s="2055"/>
      <c r="E34" s="2055"/>
      <c r="F34" s="2055"/>
      <c r="G34" s="2055"/>
      <c r="H34" s="2055"/>
      <c r="I34" s="2055"/>
      <c r="J34" s="2055"/>
      <c r="K34" s="2055"/>
      <c r="L34" s="2055"/>
      <c r="M34" s="2055"/>
      <c r="N34" s="2055"/>
      <c r="O34" s="2055"/>
      <c r="P34" s="2055"/>
      <c r="Q34" s="2055"/>
      <c r="R34" s="2055"/>
      <c r="S34" s="2055"/>
      <c r="T34" s="2055"/>
      <c r="U34" s="2055"/>
      <c r="V34" s="2055"/>
      <c r="W34" s="2055"/>
      <c r="X34" s="2055"/>
      <c r="Y34" s="2055"/>
      <c r="Z34" s="2055"/>
      <c r="AA34" s="2055"/>
      <c r="AB34" s="2055"/>
      <c r="AC34" s="2055"/>
    </row>
    <row r="35" spans="2:29" s="666" customFormat="1" ht="6.75" customHeight="1" x14ac:dyDescent="0.25">
      <c r="B35" s="1173"/>
      <c r="C35" s="2055"/>
      <c r="D35" s="2055"/>
      <c r="E35" s="2055"/>
      <c r="F35" s="2055"/>
      <c r="G35" s="2055"/>
      <c r="H35" s="2055"/>
      <c r="I35" s="2055"/>
      <c r="J35" s="2055"/>
      <c r="K35" s="2055"/>
      <c r="L35" s="2055"/>
      <c r="M35" s="2055"/>
      <c r="N35" s="2055"/>
      <c r="O35" s="2055"/>
      <c r="P35" s="2055"/>
      <c r="Q35" s="2055"/>
      <c r="R35" s="2055"/>
      <c r="S35" s="2055"/>
      <c r="T35" s="2055"/>
      <c r="U35" s="2055"/>
      <c r="V35" s="2055"/>
      <c r="W35" s="2055"/>
      <c r="X35" s="2055"/>
      <c r="Y35" s="2055"/>
      <c r="Z35" s="2055"/>
      <c r="AA35" s="2055"/>
      <c r="AB35" s="2055"/>
      <c r="AC35" s="2055"/>
    </row>
    <row r="36" spans="2:29" s="666" customFormat="1" ht="18.600000000000001" customHeight="1" x14ac:dyDescent="0.25">
      <c r="B36" s="1174" t="s">
        <v>1391</v>
      </c>
      <c r="C36" s="2058" t="s">
        <v>2041</v>
      </c>
      <c r="D36" s="2058"/>
      <c r="E36" s="2058"/>
      <c r="F36" s="2058"/>
      <c r="G36" s="2058"/>
      <c r="H36" s="2058"/>
      <c r="I36" s="2058"/>
      <c r="J36" s="2058"/>
      <c r="K36" s="2058"/>
      <c r="L36" s="2058"/>
      <c r="M36" s="2058"/>
      <c r="N36" s="2058"/>
      <c r="O36" s="2058"/>
      <c r="P36" s="2058"/>
      <c r="Q36" s="2058"/>
      <c r="R36" s="2058"/>
      <c r="S36" s="2058"/>
      <c r="T36" s="2058"/>
      <c r="U36" s="2058"/>
      <c r="V36" s="2058"/>
      <c r="W36" s="2058"/>
      <c r="X36" s="2058"/>
      <c r="Y36" s="2058"/>
      <c r="Z36" s="2058"/>
      <c r="AA36" s="2058"/>
      <c r="AB36" s="2058"/>
      <c r="AC36" s="2058"/>
    </row>
    <row r="37" spans="2:29" s="312" customFormat="1" ht="4.8" customHeight="1" x14ac:dyDescent="0.25">
      <c r="B37" s="2053"/>
      <c r="C37" s="2053"/>
      <c r="D37" s="2053"/>
      <c r="E37" s="2053"/>
      <c r="F37" s="2053"/>
      <c r="G37" s="2053"/>
      <c r="H37" s="2053"/>
      <c r="I37" s="2053"/>
      <c r="J37" s="2053"/>
      <c r="K37" s="2053"/>
      <c r="L37" s="2053"/>
      <c r="M37" s="2053"/>
      <c r="N37" s="2053"/>
      <c r="O37" s="2053"/>
      <c r="P37" s="2053"/>
      <c r="Q37" s="2053"/>
      <c r="R37" s="2053"/>
      <c r="S37" s="2053"/>
      <c r="T37" s="2053"/>
      <c r="U37" s="2053"/>
      <c r="V37" s="2053"/>
      <c r="W37" s="2053"/>
      <c r="X37" s="2053"/>
      <c r="Y37" s="2053"/>
      <c r="Z37" s="2053"/>
      <c r="AA37" s="2053"/>
      <c r="AB37" s="2053"/>
      <c r="AC37" s="2053"/>
    </row>
    <row r="38" spans="2:29" s="666" customFormat="1" ht="24" customHeight="1" x14ac:dyDescent="0.25">
      <c r="B38" s="1174" t="s">
        <v>1392</v>
      </c>
      <c r="C38" s="2061" t="str">
        <f>"La selección del barraje es el valor de corriente nominal mínimo que deben soportar los barrajes de os TBT."</f>
        <v>La selección del barraje es el valor de corriente nominal mínimo que deben soportar los barrajes de os TBT.</v>
      </c>
      <c r="D38" s="2061"/>
      <c r="E38" s="2061"/>
      <c r="F38" s="2061"/>
      <c r="G38" s="2061"/>
      <c r="H38" s="2061"/>
      <c r="I38" s="2061"/>
      <c r="J38" s="2061"/>
      <c r="K38" s="2061"/>
      <c r="L38" s="2061"/>
      <c r="M38" s="2061"/>
      <c r="N38" s="2061"/>
      <c r="O38" s="2061"/>
      <c r="P38" s="2061"/>
      <c r="Q38" s="2061"/>
      <c r="R38" s="2061"/>
      <c r="S38" s="2061"/>
      <c r="T38" s="2061"/>
      <c r="U38" s="2061"/>
      <c r="V38" s="2061"/>
      <c r="W38" s="2061"/>
      <c r="X38" s="2061"/>
      <c r="Y38" s="2061"/>
      <c r="Z38" s="2061"/>
      <c r="AA38" s="2061"/>
      <c r="AB38" s="2061"/>
      <c r="AC38" s="2061"/>
    </row>
    <row r="39" spans="2:29" s="312" customFormat="1" ht="6.75" customHeight="1" x14ac:dyDescent="0.25">
      <c r="B39" s="2053"/>
      <c r="C39" s="2053"/>
      <c r="D39" s="2053"/>
      <c r="E39" s="2053"/>
      <c r="F39" s="2053"/>
      <c r="G39" s="2053"/>
      <c r="H39" s="2053"/>
      <c r="I39" s="2053"/>
      <c r="J39" s="2053"/>
      <c r="K39" s="2053"/>
      <c r="L39" s="2053"/>
      <c r="M39" s="2053"/>
      <c r="N39" s="2053"/>
      <c r="O39" s="2053"/>
      <c r="P39" s="2053"/>
      <c r="Q39" s="2053"/>
      <c r="R39" s="2053"/>
      <c r="S39" s="2053"/>
      <c r="T39" s="2053"/>
      <c r="U39" s="2053"/>
      <c r="V39" s="2053"/>
      <c r="W39" s="2053"/>
      <c r="X39" s="2053"/>
      <c r="Y39" s="2053"/>
      <c r="Z39" s="2053"/>
      <c r="AA39" s="2053"/>
      <c r="AB39" s="2053"/>
      <c r="AC39" s="2053"/>
    </row>
    <row r="40" spans="2:29" s="666" customFormat="1" ht="32.4" customHeight="1" x14ac:dyDescent="0.25">
      <c r="B40" s="1175" t="s">
        <v>1393</v>
      </c>
      <c r="C40" s="2058" t="s">
        <v>1394</v>
      </c>
      <c r="D40" s="2058"/>
      <c r="E40" s="2058"/>
      <c r="F40" s="2058"/>
      <c r="G40" s="2058"/>
      <c r="H40" s="2058"/>
      <c r="I40" s="2058"/>
      <c r="J40" s="2058"/>
      <c r="K40" s="2058"/>
      <c r="L40" s="2058"/>
      <c r="M40" s="2058"/>
      <c r="N40" s="2058"/>
      <c r="O40" s="2058"/>
      <c r="P40" s="2058"/>
      <c r="Q40" s="2058"/>
      <c r="R40" s="2058"/>
      <c r="S40" s="2058"/>
      <c r="T40" s="2058"/>
      <c r="U40" s="2058"/>
      <c r="V40" s="2058"/>
      <c r="W40" s="2058"/>
      <c r="X40" s="2058"/>
      <c r="Y40" s="2058"/>
      <c r="Z40" s="2058"/>
      <c r="AA40" s="2058"/>
      <c r="AB40" s="2058"/>
      <c r="AC40" s="2058"/>
    </row>
    <row r="41" spans="2:29" s="312" customFormat="1" ht="3" customHeight="1" x14ac:dyDescent="0.25">
      <c r="B41" s="2053"/>
      <c r="C41" s="2053"/>
      <c r="D41" s="2053"/>
      <c r="E41" s="2053"/>
      <c r="F41" s="2053"/>
      <c r="G41" s="2053"/>
      <c r="H41" s="2053"/>
      <c r="I41" s="2053"/>
      <c r="J41" s="2053"/>
      <c r="K41" s="2053"/>
      <c r="L41" s="2053"/>
      <c r="M41" s="2053"/>
      <c r="N41" s="2053"/>
      <c r="O41" s="2053"/>
      <c r="P41" s="2053"/>
      <c r="Q41" s="2053"/>
      <c r="R41" s="2053"/>
      <c r="S41" s="2053"/>
      <c r="T41" s="2053"/>
      <c r="U41" s="2053"/>
      <c r="V41" s="2053"/>
      <c r="W41" s="2053"/>
      <c r="X41" s="2053"/>
      <c r="Y41" s="2053"/>
      <c r="Z41" s="2053"/>
      <c r="AA41" s="2053"/>
      <c r="AB41" s="2053"/>
      <c r="AC41" s="2053"/>
    </row>
    <row r="42" spans="2:29" s="666" customFormat="1" ht="57.75" customHeight="1" x14ac:dyDescent="0.25">
      <c r="B42" s="1175" t="s">
        <v>1395</v>
      </c>
      <c r="C42" s="2059" t="s">
        <v>2042</v>
      </c>
      <c r="D42" s="2059"/>
      <c r="E42" s="2059"/>
      <c r="F42" s="2059"/>
      <c r="G42" s="2059"/>
      <c r="H42" s="2059"/>
      <c r="I42" s="2059"/>
      <c r="J42" s="2059"/>
      <c r="K42" s="2059"/>
      <c r="L42" s="2059"/>
      <c r="M42" s="2059"/>
      <c r="N42" s="2059"/>
      <c r="O42" s="2059"/>
      <c r="P42" s="2059"/>
      <c r="Q42" s="2059"/>
      <c r="R42" s="2059"/>
      <c r="S42" s="2059"/>
      <c r="T42" s="2059"/>
      <c r="U42" s="2059"/>
      <c r="V42" s="2059"/>
      <c r="W42" s="2059"/>
      <c r="X42" s="2059"/>
      <c r="Y42" s="2059"/>
      <c r="Z42" s="2059"/>
      <c r="AA42" s="2059"/>
      <c r="AB42" s="2059"/>
      <c r="AC42" s="2059"/>
    </row>
    <row r="43" spans="2:29" s="312" customFormat="1" ht="6.75" customHeight="1" x14ac:dyDescent="0.25">
      <c r="B43" s="2053"/>
      <c r="C43" s="2053"/>
      <c r="D43" s="2053"/>
      <c r="E43" s="2053"/>
      <c r="F43" s="2053"/>
      <c r="G43" s="2053"/>
      <c r="H43" s="2053"/>
      <c r="I43" s="2053"/>
      <c r="J43" s="2053"/>
      <c r="K43" s="2053"/>
      <c r="L43" s="2053"/>
      <c r="M43" s="2053"/>
      <c r="N43" s="2053"/>
      <c r="O43" s="2053"/>
      <c r="P43" s="2053"/>
      <c r="Q43" s="2053"/>
      <c r="R43" s="2053"/>
      <c r="S43" s="2053"/>
      <c r="T43" s="2053"/>
      <c r="U43" s="2053"/>
      <c r="V43" s="2053"/>
      <c r="W43" s="2053"/>
      <c r="X43" s="2053"/>
      <c r="Y43" s="2053"/>
      <c r="Z43" s="2053"/>
      <c r="AA43" s="2053"/>
      <c r="AB43" s="2053"/>
      <c r="AC43" s="2053"/>
    </row>
    <row r="44" spans="2:29" s="312" customFormat="1" ht="6" customHeight="1" x14ac:dyDescent="0.25">
      <c r="B44" s="2053"/>
      <c r="C44" s="2053"/>
      <c r="D44" s="2053"/>
      <c r="E44" s="2053"/>
      <c r="F44" s="2053"/>
      <c r="G44" s="2053"/>
      <c r="H44" s="2053"/>
      <c r="I44" s="2053"/>
      <c r="J44" s="2053"/>
      <c r="K44" s="2053"/>
      <c r="L44" s="2053"/>
      <c r="M44" s="2053"/>
      <c r="N44" s="2053"/>
      <c r="O44" s="2053"/>
      <c r="P44" s="2053"/>
      <c r="Q44" s="2053"/>
      <c r="R44" s="2053"/>
      <c r="S44" s="2053"/>
      <c r="T44" s="2053"/>
      <c r="U44" s="2053"/>
      <c r="V44" s="2053"/>
      <c r="W44" s="2053"/>
      <c r="X44" s="2053"/>
      <c r="Y44" s="2053"/>
      <c r="Z44" s="2053"/>
      <c r="AA44" s="2053"/>
      <c r="AB44" s="2053"/>
      <c r="AC44" s="2053"/>
    </row>
    <row r="45" spans="2:29" s="312" customFormat="1" ht="27.75" customHeight="1" x14ac:dyDescent="0.25">
      <c r="B45" s="1176" t="s">
        <v>2012</v>
      </c>
      <c r="C45" s="2054" t="s">
        <v>1396</v>
      </c>
      <c r="D45" s="2054"/>
      <c r="E45" s="2054"/>
      <c r="F45" s="2054"/>
      <c r="G45" s="2054"/>
      <c r="H45" s="2054"/>
      <c r="I45" s="2054"/>
      <c r="J45" s="2054"/>
      <c r="K45" s="2054"/>
      <c r="L45" s="2054"/>
      <c r="M45" s="2054"/>
      <c r="N45" s="2054"/>
      <c r="O45" s="2054"/>
      <c r="P45" s="2054"/>
      <c r="Q45" s="2054"/>
      <c r="R45" s="2054"/>
      <c r="S45" s="2054"/>
      <c r="T45" s="2054"/>
      <c r="U45" s="2054"/>
      <c r="V45" s="2054"/>
      <c r="W45" s="2054"/>
      <c r="X45" s="2054"/>
      <c r="Y45" s="2054"/>
      <c r="Z45" s="2054"/>
      <c r="AA45" s="2054"/>
      <c r="AB45" s="2054"/>
      <c r="AC45" s="2054"/>
    </row>
    <row r="46" spans="2:29" s="312" customFormat="1" ht="8.4" customHeight="1" x14ac:dyDescent="0.25">
      <c r="B46" s="2053"/>
      <c r="C46" s="2053"/>
      <c r="D46" s="2053"/>
      <c r="E46" s="2053"/>
      <c r="F46" s="2053"/>
      <c r="G46" s="2053"/>
      <c r="H46" s="2053"/>
      <c r="I46" s="2053"/>
      <c r="J46" s="2053"/>
      <c r="K46" s="2053"/>
      <c r="L46" s="2053"/>
      <c r="M46" s="2053"/>
      <c r="N46" s="2053"/>
      <c r="O46" s="2053"/>
      <c r="P46" s="2053"/>
      <c r="Q46" s="2053"/>
      <c r="R46" s="2053"/>
      <c r="S46" s="2053"/>
      <c r="T46" s="2053"/>
      <c r="U46" s="2053"/>
      <c r="V46" s="2053"/>
      <c r="W46" s="2053"/>
      <c r="X46" s="2053"/>
      <c r="Y46" s="2053"/>
      <c r="Z46" s="2053"/>
      <c r="AA46" s="2053"/>
      <c r="AB46" s="2053"/>
      <c r="AC46" s="2053"/>
    </row>
    <row r="47" spans="2:29" s="312" customFormat="1" ht="18" customHeight="1" x14ac:dyDescent="0.25">
      <c r="B47" s="1176" t="s">
        <v>2013</v>
      </c>
      <c r="C47" s="2054" t="s">
        <v>1397</v>
      </c>
      <c r="D47" s="2054"/>
      <c r="E47" s="2054"/>
      <c r="F47" s="2054"/>
      <c r="G47" s="2054"/>
      <c r="H47" s="2054"/>
      <c r="I47" s="2054"/>
      <c r="J47" s="2054"/>
      <c r="K47" s="2054"/>
      <c r="L47" s="2054"/>
      <c r="M47" s="2054"/>
      <c r="N47" s="2054"/>
      <c r="O47" s="2054"/>
      <c r="P47" s="2054"/>
      <c r="Q47" s="2054"/>
      <c r="R47" s="2054"/>
      <c r="S47" s="2054"/>
      <c r="T47" s="2054"/>
      <c r="U47" s="2054"/>
      <c r="V47" s="2054"/>
      <c r="W47" s="2054"/>
      <c r="X47" s="2054"/>
      <c r="Y47" s="2054"/>
      <c r="Z47" s="2054"/>
      <c r="AA47" s="2054"/>
      <c r="AB47" s="2054"/>
      <c r="AC47" s="2054"/>
    </row>
    <row r="48" spans="2:29" s="307" customFormat="1" x14ac:dyDescent="0.25">
      <c r="B48" s="1176"/>
      <c r="C48" s="2054"/>
      <c r="D48" s="2054"/>
      <c r="E48" s="2054"/>
      <c r="F48" s="2054"/>
      <c r="G48" s="2054"/>
      <c r="H48" s="2054"/>
      <c r="I48" s="2054"/>
      <c r="J48" s="2054"/>
      <c r="K48" s="2054"/>
      <c r="L48" s="2054"/>
      <c r="M48" s="2054"/>
      <c r="N48" s="2054"/>
      <c r="O48" s="2054"/>
      <c r="P48" s="2054"/>
      <c r="Q48" s="2054"/>
      <c r="R48" s="2054"/>
      <c r="S48" s="2054"/>
      <c r="T48" s="2054"/>
      <c r="U48" s="2054"/>
      <c r="V48" s="2054"/>
      <c r="W48" s="2054"/>
      <c r="X48" s="2054"/>
      <c r="Y48" s="2054"/>
      <c r="Z48" s="2054"/>
      <c r="AA48" s="2054"/>
      <c r="AB48" s="2054"/>
      <c r="AC48" s="2054"/>
    </row>
    <row r="49" spans="2:29" s="312" customFormat="1" ht="18" customHeight="1" x14ac:dyDescent="0.25">
      <c r="B49" s="1176"/>
      <c r="C49" s="2054"/>
      <c r="D49" s="2054"/>
      <c r="E49" s="2054"/>
      <c r="F49" s="2054"/>
      <c r="G49" s="2054"/>
      <c r="H49" s="2054"/>
      <c r="I49" s="2054"/>
      <c r="J49" s="2054"/>
      <c r="K49" s="2054"/>
      <c r="L49" s="2054"/>
      <c r="M49" s="2054"/>
      <c r="N49" s="2054"/>
      <c r="O49" s="2054"/>
      <c r="P49" s="2054"/>
      <c r="Q49" s="2054"/>
      <c r="R49" s="2054"/>
      <c r="S49" s="2054"/>
      <c r="T49" s="2054"/>
      <c r="U49" s="2054"/>
      <c r="V49" s="2054"/>
      <c r="W49" s="2054"/>
      <c r="X49" s="2054"/>
      <c r="Y49" s="2054"/>
      <c r="Z49" s="2054"/>
      <c r="AA49" s="2054"/>
      <c r="AB49" s="2054"/>
      <c r="AC49" s="2054"/>
    </row>
    <row r="50" spans="2:29" s="307" customFormat="1" ht="6.75" customHeight="1" x14ac:dyDescent="0.25">
      <c r="B50" s="1177"/>
      <c r="C50" s="969"/>
      <c r="D50" s="969"/>
      <c r="E50" s="969"/>
      <c r="F50" s="969"/>
      <c r="G50" s="970"/>
      <c r="H50" s="970"/>
      <c r="I50" s="969"/>
      <c r="J50" s="969"/>
      <c r="K50" s="969"/>
      <c r="L50" s="969"/>
      <c r="M50" s="969"/>
      <c r="N50" s="969"/>
      <c r="O50" s="969"/>
      <c r="P50" s="969"/>
      <c r="Q50" s="969"/>
      <c r="R50" s="969"/>
      <c r="S50" s="969"/>
      <c r="T50" s="969"/>
      <c r="U50" s="969"/>
      <c r="V50" s="969"/>
      <c r="W50" s="969"/>
      <c r="X50" s="969"/>
      <c r="Y50" s="969"/>
      <c r="Z50" s="969"/>
      <c r="AA50" s="969"/>
      <c r="AB50" s="969"/>
      <c r="AC50" s="969"/>
    </row>
    <row r="51" spans="2:29" s="312" customFormat="1" ht="44.25" customHeight="1" x14ac:dyDescent="0.25">
      <c r="B51" s="2053"/>
      <c r="C51" s="2053"/>
      <c r="D51" s="2053"/>
      <c r="E51" s="2053"/>
      <c r="F51" s="2053"/>
      <c r="G51" s="2053"/>
      <c r="H51" s="2053"/>
      <c r="I51" s="2053"/>
      <c r="J51" s="2053"/>
      <c r="K51" s="2053"/>
      <c r="L51" s="2053"/>
      <c r="M51" s="2053"/>
      <c r="N51" s="2053"/>
      <c r="O51" s="2053"/>
      <c r="P51" s="2053"/>
      <c r="Q51" s="2053"/>
      <c r="R51" s="2053"/>
      <c r="S51" s="2053"/>
      <c r="T51" s="2053"/>
      <c r="U51" s="2053"/>
      <c r="V51" s="2053"/>
      <c r="W51" s="2053"/>
      <c r="X51" s="2053"/>
      <c r="Y51" s="2053"/>
      <c r="Z51" s="2053"/>
      <c r="AA51" s="2053"/>
      <c r="AB51" s="2053"/>
      <c r="AC51" s="2053"/>
    </row>
    <row r="52" spans="2:29" s="307" customFormat="1" ht="33.75" customHeight="1" x14ac:dyDescent="0.25">
      <c r="B52" s="1177"/>
      <c r="C52" s="969"/>
      <c r="D52" s="969"/>
      <c r="E52" s="969"/>
      <c r="F52" s="969"/>
      <c r="G52" s="970"/>
      <c r="H52" s="970"/>
      <c r="I52" s="969"/>
      <c r="J52" s="969"/>
      <c r="K52" s="969"/>
      <c r="L52" s="969"/>
      <c r="M52" s="969"/>
      <c r="N52" s="969"/>
      <c r="O52" s="969"/>
      <c r="P52" s="969"/>
      <c r="Q52" s="969"/>
      <c r="R52" s="969"/>
      <c r="S52" s="969"/>
      <c r="T52" s="969"/>
      <c r="U52" s="969"/>
      <c r="V52" s="969"/>
      <c r="W52" s="969"/>
      <c r="X52" s="969"/>
      <c r="Y52" s="969"/>
      <c r="Z52" s="969"/>
      <c r="AA52" s="969"/>
      <c r="AB52" s="969"/>
      <c r="AC52" s="969"/>
    </row>
    <row r="53" spans="2:29" s="312" customFormat="1" ht="13.2" hidden="1" customHeight="1" x14ac:dyDescent="0.25">
      <c r="B53" s="2053"/>
      <c r="C53" s="2053"/>
      <c r="D53" s="2053"/>
      <c r="E53" s="2053"/>
      <c r="F53" s="2053"/>
      <c r="G53" s="2053"/>
      <c r="H53" s="2053"/>
      <c r="I53" s="2053"/>
      <c r="J53" s="2053"/>
      <c r="K53" s="2053"/>
      <c r="L53" s="2053"/>
      <c r="M53" s="2053"/>
      <c r="N53" s="2053"/>
      <c r="O53" s="2053"/>
      <c r="P53" s="2053"/>
      <c r="Q53" s="2053"/>
      <c r="R53" s="2053"/>
      <c r="S53" s="2053"/>
      <c r="T53" s="2053"/>
      <c r="U53" s="2053"/>
      <c r="V53" s="2053"/>
      <c r="W53" s="2053"/>
      <c r="X53" s="2053"/>
      <c r="Y53" s="2053"/>
      <c r="Z53" s="2053"/>
      <c r="AA53" s="2053"/>
      <c r="AB53" s="2053"/>
      <c r="AC53" s="2053"/>
    </row>
    <row r="54" spans="2:29" s="307" customFormat="1" ht="14.25" hidden="1" customHeight="1" x14ac:dyDescent="0.25">
      <c r="B54" s="1177"/>
      <c r="C54" s="969"/>
      <c r="D54" s="969"/>
      <c r="E54" s="969"/>
      <c r="F54" s="969"/>
      <c r="G54" s="970"/>
      <c r="H54" s="970"/>
      <c r="I54" s="969"/>
      <c r="J54" s="969"/>
      <c r="K54" s="969"/>
      <c r="L54" s="969"/>
      <c r="M54" s="969"/>
      <c r="N54" s="969"/>
      <c r="O54" s="969"/>
      <c r="P54" s="969"/>
      <c r="Q54" s="969"/>
      <c r="R54" s="969"/>
      <c r="S54" s="969"/>
      <c r="T54" s="969"/>
      <c r="U54" s="969"/>
      <c r="V54" s="969"/>
      <c r="W54" s="969"/>
      <c r="X54" s="969"/>
      <c r="Y54" s="969"/>
      <c r="Z54" s="969"/>
      <c r="AA54" s="969"/>
      <c r="AB54" s="969"/>
      <c r="AC54" s="969"/>
    </row>
    <row r="55" spans="2:29" s="307" customFormat="1" ht="14.25" hidden="1" customHeight="1" x14ac:dyDescent="0.25">
      <c r="B55" s="1176" t="s">
        <v>1398</v>
      </c>
      <c r="C55" s="2054" t="s">
        <v>1399</v>
      </c>
      <c r="D55" s="2054"/>
      <c r="E55" s="2054"/>
      <c r="F55" s="2054"/>
      <c r="G55" s="2054"/>
      <c r="H55" s="2054"/>
      <c r="I55" s="2054"/>
      <c r="J55" s="2054"/>
      <c r="K55" s="2054"/>
      <c r="L55" s="2054"/>
      <c r="M55" s="2054"/>
      <c r="N55" s="2054"/>
      <c r="O55" s="2054"/>
      <c r="P55" s="2054"/>
      <c r="Q55" s="2054"/>
      <c r="R55" s="2054"/>
      <c r="S55" s="2054"/>
      <c r="T55" s="2054"/>
      <c r="U55" s="2054"/>
      <c r="V55" s="2054"/>
      <c r="W55" s="2054"/>
      <c r="X55" s="2054"/>
      <c r="Y55" s="2054"/>
      <c r="Z55" s="2054"/>
      <c r="AA55" s="2054"/>
      <c r="AB55" s="2054"/>
      <c r="AC55" s="2054"/>
    </row>
    <row r="56" spans="2:29" s="312" customFormat="1" ht="12" hidden="1" customHeight="1" x14ac:dyDescent="0.25">
      <c r="B56" s="1178"/>
      <c r="C56" s="2054"/>
      <c r="D56" s="2054"/>
      <c r="E56" s="2054"/>
      <c r="F56" s="2054"/>
      <c r="G56" s="2054"/>
      <c r="H56" s="2054"/>
      <c r="I56" s="2054"/>
      <c r="J56" s="2054"/>
      <c r="K56" s="2054"/>
      <c r="L56" s="2054"/>
      <c r="M56" s="2054"/>
      <c r="N56" s="2054"/>
      <c r="O56" s="2054"/>
      <c r="P56" s="2054"/>
      <c r="Q56" s="2054"/>
      <c r="R56" s="2054"/>
      <c r="S56" s="2054"/>
      <c r="T56" s="2054"/>
      <c r="U56" s="2054"/>
      <c r="V56" s="2054"/>
      <c r="W56" s="2054"/>
      <c r="X56" s="2054"/>
      <c r="Y56" s="2054"/>
      <c r="Z56" s="2054"/>
      <c r="AA56" s="2054"/>
      <c r="AB56" s="2054"/>
      <c r="AC56" s="2054"/>
    </row>
    <row r="57" spans="2:29" s="312" customFormat="1" ht="8.4" hidden="1" customHeight="1" x14ac:dyDescent="0.25">
      <c r="B57" s="2053"/>
      <c r="C57" s="2053"/>
      <c r="D57" s="2053"/>
      <c r="E57" s="2053"/>
      <c r="F57" s="2053"/>
      <c r="G57" s="2053"/>
      <c r="H57" s="2053"/>
      <c r="I57" s="2053"/>
      <c r="J57" s="2053"/>
      <c r="K57" s="2053"/>
      <c r="L57" s="2053"/>
      <c r="M57" s="2053"/>
      <c r="N57" s="2053"/>
      <c r="O57" s="2053"/>
      <c r="P57" s="2053"/>
      <c r="Q57" s="2053"/>
      <c r="R57" s="2053"/>
      <c r="S57" s="2053"/>
      <c r="T57" s="2053"/>
      <c r="U57" s="2053"/>
      <c r="V57" s="2053"/>
      <c r="W57" s="2053"/>
      <c r="X57" s="2053"/>
      <c r="Y57" s="2053"/>
      <c r="Z57" s="2053"/>
      <c r="AA57" s="2053"/>
      <c r="AB57" s="2053"/>
      <c r="AC57" s="2053"/>
    </row>
    <row r="58" spans="2:29" s="312" customFormat="1" ht="25.2" x14ac:dyDescent="0.25">
      <c r="B58" s="1176" t="s">
        <v>2044</v>
      </c>
      <c r="C58" s="2060" t="s">
        <v>1974</v>
      </c>
      <c r="D58" s="2060"/>
      <c r="E58" s="2060"/>
      <c r="F58" s="2060"/>
      <c r="G58" s="2060"/>
      <c r="H58" s="2060"/>
      <c r="I58" s="2060"/>
      <c r="J58" s="2060"/>
      <c r="K58" s="2060"/>
      <c r="L58" s="2060"/>
      <c r="M58" s="2060"/>
      <c r="N58" s="2060"/>
      <c r="O58" s="2060"/>
      <c r="P58" s="2060"/>
      <c r="Q58" s="2060"/>
      <c r="R58" s="2060"/>
      <c r="S58" s="2060"/>
      <c r="T58" s="2060"/>
      <c r="U58" s="2060"/>
      <c r="V58" s="2060"/>
      <c r="W58" s="2060"/>
      <c r="X58" s="2060"/>
      <c r="Y58" s="2060"/>
      <c r="Z58" s="2060"/>
      <c r="AA58" s="2060"/>
      <c r="AB58" s="2060"/>
      <c r="AC58" s="2060"/>
    </row>
    <row r="59" spans="2:29" ht="6" customHeight="1" x14ac:dyDescent="0.25">
      <c r="B59" s="1179"/>
      <c r="C59" s="2060"/>
      <c r="D59" s="2060"/>
      <c r="E59" s="2060"/>
      <c r="F59" s="2060"/>
      <c r="G59" s="2060"/>
      <c r="H59" s="2060"/>
      <c r="I59" s="2060"/>
      <c r="J59" s="2060"/>
      <c r="K59" s="2060"/>
      <c r="L59" s="2060"/>
      <c r="M59" s="2060"/>
      <c r="N59" s="2060"/>
      <c r="O59" s="2060"/>
      <c r="P59" s="2060"/>
      <c r="Q59" s="2060"/>
      <c r="R59" s="2060"/>
      <c r="S59" s="2060"/>
      <c r="T59" s="2060"/>
      <c r="U59" s="2060"/>
      <c r="V59" s="2060"/>
      <c r="W59" s="2060"/>
      <c r="X59" s="2060"/>
      <c r="Y59" s="2060"/>
      <c r="Z59" s="2060"/>
      <c r="AA59" s="2060"/>
      <c r="AB59" s="2060"/>
      <c r="AC59" s="2060"/>
    </row>
    <row r="60" spans="2:29" s="312" customFormat="1" ht="13.8" customHeight="1" x14ac:dyDescent="0.25">
      <c r="B60" s="1176" t="s">
        <v>2045</v>
      </c>
      <c r="C60" s="2060" t="s">
        <v>1400</v>
      </c>
      <c r="D60" s="2060"/>
      <c r="E60" s="2060"/>
      <c r="F60" s="2060"/>
      <c r="G60" s="2060"/>
      <c r="H60" s="2060"/>
      <c r="I60" s="2060"/>
      <c r="J60" s="2060"/>
      <c r="K60" s="2060"/>
      <c r="L60" s="2060"/>
      <c r="M60" s="2060"/>
      <c r="N60" s="2060"/>
      <c r="O60" s="2060"/>
      <c r="P60" s="2060"/>
      <c r="Q60" s="2060"/>
      <c r="R60" s="2060"/>
      <c r="S60" s="2060"/>
      <c r="T60" s="2060"/>
      <c r="U60" s="2060"/>
      <c r="V60" s="2060"/>
      <c r="W60" s="2060"/>
      <c r="X60" s="2060"/>
      <c r="Y60" s="2060"/>
      <c r="Z60" s="2060"/>
      <c r="AA60" s="2060"/>
      <c r="AB60" s="2060"/>
      <c r="AC60" s="2060"/>
    </row>
    <row r="61" spans="2:29" ht="30" customHeight="1" x14ac:dyDescent="0.25">
      <c r="B61" s="1179"/>
      <c r="C61" s="2060"/>
      <c r="D61" s="2060"/>
      <c r="E61" s="2060"/>
      <c r="F61" s="2060"/>
      <c r="G61" s="2060"/>
      <c r="H61" s="2060"/>
      <c r="I61" s="2060"/>
      <c r="J61" s="2060"/>
      <c r="K61" s="2060"/>
      <c r="L61" s="2060"/>
      <c r="M61" s="2060"/>
      <c r="N61" s="2060"/>
      <c r="O61" s="2060"/>
      <c r="P61" s="2060"/>
      <c r="Q61" s="2060"/>
      <c r="R61" s="2060"/>
      <c r="S61" s="2060"/>
      <c r="T61" s="2060"/>
      <c r="U61" s="2060"/>
      <c r="V61" s="2060"/>
      <c r="W61" s="2060"/>
      <c r="X61" s="2060"/>
      <c r="Y61" s="2060"/>
      <c r="Z61" s="2060"/>
      <c r="AA61" s="2060"/>
      <c r="AB61" s="2060"/>
      <c r="AC61" s="2060"/>
    </row>
    <row r="62" spans="2:29" s="312" customFormat="1" ht="8.4" customHeight="1" x14ac:dyDescent="0.25">
      <c r="B62" s="2053"/>
      <c r="C62" s="2053"/>
      <c r="D62" s="2053"/>
      <c r="E62" s="2053"/>
      <c r="F62" s="2053"/>
      <c r="G62" s="2053"/>
      <c r="H62" s="2053"/>
      <c r="I62" s="2053"/>
      <c r="J62" s="2053"/>
      <c r="K62" s="2053"/>
      <c r="L62" s="2053"/>
      <c r="M62" s="2053"/>
      <c r="N62" s="2053"/>
      <c r="O62" s="2053"/>
      <c r="P62" s="2053"/>
      <c r="Q62" s="2053"/>
      <c r="R62" s="2053"/>
      <c r="S62" s="2053"/>
      <c r="T62" s="2053"/>
      <c r="U62" s="2053"/>
      <c r="V62" s="2053"/>
      <c r="W62" s="2053"/>
      <c r="X62" s="2053"/>
      <c r="Y62" s="2053"/>
      <c r="Z62" s="2053"/>
      <c r="AA62" s="2053"/>
      <c r="AB62" s="2053"/>
      <c r="AC62" s="2053"/>
    </row>
    <row r="63" spans="2:29" ht="28.8" customHeight="1" x14ac:dyDescent="0.25">
      <c r="B63" s="1176" t="s">
        <v>1398</v>
      </c>
      <c r="C63" s="2060" t="s">
        <v>1401</v>
      </c>
      <c r="D63" s="2060"/>
      <c r="E63" s="2060"/>
      <c r="F63" s="2060"/>
      <c r="G63" s="2060"/>
      <c r="H63" s="2060"/>
      <c r="I63" s="2060"/>
      <c r="J63" s="2060"/>
      <c r="K63" s="2060"/>
      <c r="L63" s="2060"/>
      <c r="M63" s="2060"/>
      <c r="N63" s="2060"/>
      <c r="O63" s="2060"/>
      <c r="P63" s="2060"/>
      <c r="Q63" s="2060"/>
      <c r="R63" s="2060"/>
      <c r="S63" s="2060"/>
      <c r="T63" s="2060"/>
      <c r="U63" s="2060"/>
      <c r="V63" s="2060"/>
      <c r="W63" s="2060"/>
      <c r="X63" s="2060"/>
      <c r="Y63" s="2060"/>
      <c r="Z63" s="2060"/>
      <c r="AA63" s="2060"/>
      <c r="AB63" s="2060"/>
      <c r="AC63" s="2060"/>
    </row>
    <row r="64" spans="2:29" s="312" customFormat="1" ht="8.4" customHeight="1" x14ac:dyDescent="0.25">
      <c r="B64" s="2053"/>
      <c r="C64" s="2053"/>
      <c r="D64" s="2053"/>
      <c r="E64" s="2053"/>
      <c r="F64" s="2053"/>
      <c r="G64" s="2053"/>
      <c r="H64" s="2053"/>
      <c r="I64" s="2053"/>
      <c r="J64" s="2053"/>
      <c r="K64" s="2053"/>
      <c r="L64" s="2053"/>
      <c r="M64" s="2053"/>
      <c r="N64" s="2053"/>
      <c r="O64" s="2053"/>
      <c r="P64" s="2053"/>
      <c r="Q64" s="2053"/>
      <c r="R64" s="2053"/>
      <c r="S64" s="2053"/>
      <c r="T64" s="2053"/>
      <c r="U64" s="2053"/>
      <c r="V64" s="2053"/>
      <c r="W64" s="2053"/>
      <c r="X64" s="2053"/>
      <c r="Y64" s="2053"/>
      <c r="Z64" s="2053"/>
      <c r="AA64" s="2053"/>
      <c r="AB64" s="2053"/>
      <c r="AC64" s="2053"/>
    </row>
    <row r="65" spans="1:30" ht="44.25" customHeight="1" x14ac:dyDescent="0.25">
      <c r="B65" s="1176" t="s">
        <v>2014</v>
      </c>
      <c r="C65" s="2054" t="s">
        <v>2043</v>
      </c>
      <c r="D65" s="2054"/>
      <c r="E65" s="2054"/>
      <c r="F65" s="2054"/>
      <c r="G65" s="2054"/>
      <c r="H65" s="2054"/>
      <c r="I65" s="2054"/>
      <c r="J65" s="2054"/>
      <c r="K65" s="2054"/>
      <c r="L65" s="2054"/>
      <c r="M65" s="2054"/>
      <c r="N65" s="2054"/>
      <c r="O65" s="2054"/>
      <c r="P65" s="2054"/>
      <c r="Q65" s="2054"/>
      <c r="R65" s="2054"/>
      <c r="S65" s="2054"/>
      <c r="T65" s="2054"/>
      <c r="U65" s="2054"/>
      <c r="V65" s="2054"/>
      <c r="W65" s="2054"/>
      <c r="X65" s="2054"/>
      <c r="Y65" s="2054"/>
      <c r="Z65" s="2054"/>
      <c r="AA65" s="2054"/>
      <c r="AB65" s="2054"/>
      <c r="AC65" s="2054"/>
    </row>
    <row r="66" spans="1:30" s="312" customFormat="1" ht="5.25" customHeight="1" x14ac:dyDescent="0.25">
      <c r="B66" s="2053"/>
      <c r="C66" s="2053"/>
      <c r="D66" s="2053"/>
      <c r="E66" s="2053"/>
      <c r="F66" s="2053"/>
      <c r="G66" s="2053"/>
      <c r="H66" s="2053"/>
      <c r="I66" s="2053"/>
      <c r="J66" s="2053"/>
      <c r="K66" s="2053"/>
      <c r="L66" s="2053"/>
      <c r="M66" s="2053"/>
      <c r="N66" s="2053"/>
      <c r="O66" s="2053"/>
      <c r="P66" s="2053"/>
      <c r="Q66" s="2053"/>
      <c r="R66" s="2053"/>
      <c r="S66" s="2053"/>
      <c r="T66" s="2053"/>
      <c r="U66" s="2053"/>
      <c r="V66" s="2053"/>
      <c r="W66" s="2053"/>
      <c r="X66" s="2053"/>
      <c r="Y66" s="2053"/>
      <c r="Z66" s="2053"/>
      <c r="AA66" s="2053"/>
      <c r="AB66" s="2053"/>
      <c r="AC66" s="2053"/>
    </row>
    <row r="67" spans="1:30" ht="26.25" customHeight="1" x14ac:dyDescent="0.25">
      <c r="B67" s="1176" t="s">
        <v>1975</v>
      </c>
      <c r="C67" s="2060" t="s">
        <v>1403</v>
      </c>
      <c r="D67" s="2060"/>
      <c r="E67" s="2060"/>
      <c r="F67" s="2060"/>
      <c r="G67" s="2060"/>
      <c r="H67" s="2060"/>
      <c r="I67" s="2060"/>
      <c r="J67" s="2060"/>
      <c r="K67" s="2060"/>
      <c r="L67" s="2060"/>
      <c r="M67" s="2060"/>
      <c r="N67" s="2060"/>
      <c r="O67" s="2060"/>
      <c r="P67" s="2060"/>
      <c r="Q67" s="2060"/>
      <c r="R67" s="2060"/>
      <c r="S67" s="2060"/>
      <c r="T67" s="2060"/>
      <c r="U67" s="2060"/>
      <c r="V67" s="2060"/>
      <c r="W67" s="2060"/>
      <c r="X67" s="2060"/>
      <c r="Y67" s="2060"/>
      <c r="Z67" s="2060"/>
      <c r="AA67" s="2060"/>
      <c r="AB67" s="2060"/>
      <c r="AC67" s="2060"/>
    </row>
    <row r="68" spans="1:30" s="312" customFormat="1" ht="5.25" customHeight="1" x14ac:dyDescent="0.25">
      <c r="B68" s="2053"/>
      <c r="C68" s="2053"/>
      <c r="D68" s="2053"/>
      <c r="E68" s="2053"/>
      <c r="F68" s="2053"/>
      <c r="G68" s="2053"/>
      <c r="H68" s="2053"/>
      <c r="I68" s="2053"/>
      <c r="J68" s="2053"/>
      <c r="K68" s="2053"/>
      <c r="L68" s="2053"/>
      <c r="M68" s="2053"/>
      <c r="N68" s="2053"/>
      <c r="O68" s="2053"/>
      <c r="P68" s="2053"/>
      <c r="Q68" s="2053"/>
      <c r="R68" s="2053"/>
      <c r="S68" s="2053"/>
      <c r="T68" s="2053"/>
      <c r="U68" s="2053"/>
      <c r="V68" s="2053"/>
      <c r="W68" s="2053"/>
      <c r="X68" s="2053"/>
      <c r="Y68" s="2053"/>
      <c r="Z68" s="2053"/>
      <c r="AA68" s="2053"/>
      <c r="AB68" s="2053"/>
      <c r="AC68" s="2053"/>
    </row>
    <row r="69" spans="1:30" ht="2.4" customHeight="1" x14ac:dyDescent="0.25">
      <c r="B69" s="1176"/>
      <c r="C69" s="1184"/>
      <c r="D69" s="1184"/>
      <c r="E69" s="1184"/>
      <c r="F69" s="1184"/>
      <c r="G69" s="1184"/>
      <c r="H69" s="1184"/>
      <c r="I69" s="1184"/>
      <c r="J69" s="1184"/>
      <c r="K69" s="1184"/>
      <c r="L69" s="1184"/>
      <c r="M69" s="1184"/>
      <c r="N69" s="1184"/>
      <c r="O69" s="1184"/>
      <c r="P69" s="1184"/>
      <c r="Q69" s="1184"/>
      <c r="R69" s="1184"/>
      <c r="S69" s="1184"/>
      <c r="T69" s="1184"/>
      <c r="U69" s="1184"/>
      <c r="V69" s="1184"/>
      <c r="W69" s="1184"/>
      <c r="X69" s="1184"/>
      <c r="Y69" s="1184"/>
      <c r="Z69" s="1184"/>
      <c r="AA69" s="1184"/>
      <c r="AB69" s="1184"/>
      <c r="AC69" s="1184"/>
    </row>
    <row r="70" spans="1:30" ht="26.25" customHeight="1" x14ac:dyDescent="0.25">
      <c r="B70" s="1176" t="s">
        <v>1948</v>
      </c>
      <c r="C70" s="2060" t="s">
        <v>1404</v>
      </c>
      <c r="D70" s="2066"/>
      <c r="E70" s="2066"/>
      <c r="F70" s="2066"/>
      <c r="G70" s="2066"/>
      <c r="H70" s="2066"/>
      <c r="I70" s="2066"/>
      <c r="J70" s="2066"/>
      <c r="K70" s="2066"/>
      <c r="L70" s="2066"/>
      <c r="M70" s="2066"/>
      <c r="N70" s="2066"/>
      <c r="O70" s="2066"/>
      <c r="P70" s="2066"/>
      <c r="Q70" s="2066"/>
      <c r="R70" s="2066"/>
      <c r="S70" s="2066"/>
      <c r="T70" s="2066"/>
      <c r="U70" s="2066"/>
      <c r="V70" s="2066"/>
      <c r="W70" s="2066"/>
      <c r="X70" s="2066"/>
      <c r="Y70" s="2066"/>
      <c r="Z70" s="2066"/>
      <c r="AA70" s="2066"/>
      <c r="AB70" s="2066"/>
      <c r="AC70" s="2066"/>
    </row>
    <row r="71" spans="1:30" ht="28.5" customHeight="1" x14ac:dyDescent="0.25">
      <c r="B71" s="1176"/>
      <c r="C71" s="2066"/>
      <c r="D71" s="2066"/>
      <c r="E71" s="2066"/>
      <c r="F71" s="2066"/>
      <c r="G71" s="2066"/>
      <c r="H71" s="2066"/>
      <c r="I71" s="2066"/>
      <c r="J71" s="2066"/>
      <c r="K71" s="2066"/>
      <c r="L71" s="2066"/>
      <c r="M71" s="2066"/>
      <c r="N71" s="2066"/>
      <c r="O71" s="2066"/>
      <c r="P71" s="2066"/>
      <c r="Q71" s="2066"/>
      <c r="R71" s="2066"/>
      <c r="S71" s="2066"/>
      <c r="T71" s="2066"/>
      <c r="U71" s="2066"/>
      <c r="V71" s="2066"/>
      <c r="W71" s="2066"/>
      <c r="X71" s="2066"/>
      <c r="Y71" s="2066"/>
      <c r="Z71" s="2066"/>
      <c r="AA71" s="2066"/>
      <c r="AB71" s="2066"/>
      <c r="AC71" s="2066"/>
    </row>
    <row r="72" spans="1:30" ht="8.4" customHeight="1" x14ac:dyDescent="0.25">
      <c r="B72" s="1176"/>
      <c r="C72" s="1184"/>
      <c r="D72" s="1184"/>
      <c r="E72" s="1184"/>
      <c r="F72" s="1184"/>
      <c r="G72" s="1184"/>
      <c r="H72" s="1184"/>
      <c r="I72" s="1184"/>
      <c r="J72" s="1184"/>
      <c r="K72" s="1184"/>
      <c r="L72" s="1184"/>
      <c r="M72" s="1184"/>
      <c r="N72" s="1184"/>
      <c r="O72" s="1184"/>
      <c r="P72" s="1184"/>
      <c r="Q72" s="1184"/>
      <c r="R72" s="1184"/>
      <c r="S72" s="1184"/>
      <c r="T72" s="1184"/>
      <c r="U72" s="1184"/>
      <c r="V72" s="1184"/>
      <c r="W72" s="1184"/>
      <c r="X72" s="1184"/>
      <c r="Y72" s="1184"/>
      <c r="Z72" s="1184"/>
      <c r="AA72" s="1184"/>
      <c r="AB72" s="1184"/>
      <c r="AC72" s="1184"/>
    </row>
    <row r="73" spans="1:30" ht="28.5" customHeight="1" x14ac:dyDescent="0.25">
      <c r="B73" s="1176" t="s">
        <v>1949</v>
      </c>
      <c r="C73" s="2060" t="s">
        <v>1405</v>
      </c>
      <c r="D73" s="2066"/>
      <c r="E73" s="2066"/>
      <c r="F73" s="2066"/>
      <c r="G73" s="2066"/>
      <c r="H73" s="2066"/>
      <c r="I73" s="2066"/>
      <c r="J73" s="2066"/>
      <c r="K73" s="2066"/>
      <c r="L73" s="2066"/>
      <c r="M73" s="2066"/>
      <c r="N73" s="2066"/>
      <c r="O73" s="2066"/>
      <c r="P73" s="2066"/>
      <c r="Q73" s="2066"/>
      <c r="R73" s="2066"/>
      <c r="S73" s="2066"/>
      <c r="T73" s="2066"/>
      <c r="U73" s="2066"/>
      <c r="V73" s="2066"/>
      <c r="W73" s="2066"/>
      <c r="X73" s="2066"/>
      <c r="Y73" s="2066"/>
      <c r="Z73" s="2066"/>
      <c r="AA73" s="2066"/>
      <c r="AB73" s="2066"/>
      <c r="AC73" s="2066"/>
    </row>
    <row r="74" spans="1:30" ht="8.4" customHeight="1" x14ac:dyDescent="0.25">
      <c r="B74" s="1176"/>
      <c r="C74" s="1184"/>
      <c r="D74" s="1184"/>
      <c r="E74" s="1184"/>
      <c r="F74" s="1184"/>
      <c r="G74" s="1184"/>
      <c r="H74" s="1184"/>
      <c r="I74" s="1184"/>
      <c r="J74" s="1184"/>
      <c r="K74" s="1184"/>
      <c r="L74" s="1184"/>
      <c r="M74" s="1184"/>
      <c r="N74" s="1184"/>
      <c r="O74" s="1184"/>
      <c r="P74" s="1184"/>
      <c r="Q74" s="1184"/>
      <c r="R74" s="1184"/>
      <c r="S74" s="1184"/>
      <c r="T74" s="1184"/>
      <c r="U74" s="1184"/>
      <c r="V74" s="1184"/>
      <c r="W74" s="1184"/>
      <c r="X74" s="1184"/>
      <c r="Y74" s="1184"/>
      <c r="Z74" s="1184"/>
      <c r="AA74" s="1184"/>
      <c r="AB74" s="1184"/>
      <c r="AC74" s="1184"/>
    </row>
    <row r="75" spans="1:30" ht="3.75" customHeight="1" x14ac:dyDescent="0.25">
      <c r="B75" s="1176"/>
      <c r="C75" s="1184"/>
      <c r="D75" s="1184"/>
      <c r="E75" s="1184"/>
      <c r="F75" s="1184"/>
      <c r="G75" s="1184"/>
      <c r="H75" s="1184"/>
      <c r="I75" s="1184"/>
      <c r="J75" s="1184"/>
      <c r="K75" s="1184"/>
      <c r="L75" s="1184"/>
      <c r="M75" s="1184"/>
      <c r="N75" s="1184"/>
      <c r="O75" s="1184"/>
      <c r="P75" s="1184"/>
      <c r="Q75" s="1184"/>
      <c r="R75" s="1184"/>
      <c r="S75" s="1184"/>
      <c r="T75" s="1184"/>
      <c r="U75" s="1184"/>
      <c r="V75" s="1184"/>
      <c r="W75" s="1184"/>
      <c r="X75" s="1184"/>
      <c r="Y75" s="1184"/>
      <c r="Z75" s="1184"/>
      <c r="AA75" s="1184"/>
      <c r="AB75" s="1184"/>
      <c r="AC75" s="1184"/>
    </row>
    <row r="76" spans="1:30" ht="41.25" customHeight="1" x14ac:dyDescent="0.25">
      <c r="B76" s="1176" t="s">
        <v>1402</v>
      </c>
      <c r="C76" s="2060" t="s">
        <v>1406</v>
      </c>
      <c r="D76" s="2066"/>
      <c r="E76" s="2066"/>
      <c r="F76" s="2066"/>
      <c r="G76" s="2066"/>
      <c r="H76" s="2066"/>
      <c r="I76" s="2066"/>
      <c r="J76" s="2066"/>
      <c r="K76" s="2066"/>
      <c r="L76" s="2066"/>
      <c r="M76" s="2066"/>
      <c r="N76" s="2066"/>
      <c r="O76" s="2066"/>
      <c r="P76" s="2066"/>
      <c r="Q76" s="2066"/>
      <c r="R76" s="2066"/>
      <c r="S76" s="2066"/>
      <c r="T76" s="2066"/>
      <c r="U76" s="2066"/>
      <c r="V76" s="2066"/>
      <c r="W76" s="2066"/>
      <c r="X76" s="2066"/>
      <c r="Y76" s="2066"/>
      <c r="Z76" s="2066"/>
      <c r="AA76" s="2066"/>
      <c r="AB76" s="2066"/>
      <c r="AC76" s="2066"/>
    </row>
    <row r="77" spans="1:30" ht="12.75" customHeight="1" x14ac:dyDescent="0.25">
      <c r="B77" s="1176"/>
      <c r="C77" s="1184"/>
      <c r="D77" s="1184"/>
      <c r="E77" s="1184"/>
      <c r="F77" s="1184"/>
      <c r="G77" s="1184"/>
      <c r="H77" s="1184"/>
      <c r="I77" s="1184"/>
      <c r="J77" s="1184"/>
      <c r="K77" s="1184"/>
      <c r="L77" s="1184"/>
      <c r="M77" s="1184"/>
      <c r="N77" s="1184"/>
      <c r="O77" s="1184"/>
      <c r="P77" s="1184"/>
      <c r="Q77" s="1184"/>
      <c r="R77" s="1184"/>
      <c r="S77" s="1184"/>
      <c r="T77" s="1184"/>
      <c r="U77" s="1184"/>
      <c r="V77" s="1184"/>
      <c r="W77" s="1184"/>
      <c r="X77" s="1184"/>
      <c r="Y77" s="1184"/>
      <c r="Z77" s="1184"/>
      <c r="AA77" s="1184"/>
      <c r="AB77" s="1184"/>
      <c r="AC77" s="1184"/>
    </row>
    <row r="78" spans="1:30" ht="13.65" customHeight="1" x14ac:dyDescent="0.25">
      <c r="B78" s="2065" t="s">
        <v>1407</v>
      </c>
      <c r="C78" s="2065"/>
      <c r="D78" s="2065"/>
      <c r="E78" s="2065"/>
      <c r="F78" s="2065"/>
      <c r="G78" s="2065"/>
      <c r="H78" s="2065"/>
      <c r="I78" s="2065"/>
      <c r="J78" s="2065"/>
      <c r="K78" s="2065"/>
      <c r="L78" s="2065"/>
      <c r="M78" s="2065"/>
      <c r="N78" s="2065"/>
      <c r="O78" s="2065"/>
      <c r="P78" s="2065"/>
      <c r="Q78" s="2065"/>
      <c r="R78" s="2065"/>
      <c r="S78" s="2065"/>
      <c r="T78" s="2065"/>
      <c r="U78" s="2065"/>
      <c r="V78" s="2065"/>
      <c r="W78" s="2065"/>
      <c r="X78" s="2065"/>
      <c r="Y78" s="2065"/>
      <c r="Z78" s="2065"/>
      <c r="AA78" s="2065"/>
      <c r="AB78" s="2065"/>
      <c r="AC78" s="2065"/>
    </row>
    <row r="79" spans="1:30" x14ac:dyDescent="0.25">
      <c r="B79" s="1180"/>
      <c r="C79" s="954"/>
      <c r="D79" s="954"/>
      <c r="E79" s="954"/>
      <c r="F79" s="954"/>
      <c r="G79" s="954"/>
      <c r="H79" s="954"/>
      <c r="I79" s="954"/>
      <c r="J79" s="954"/>
      <c r="K79" s="954"/>
      <c r="L79" s="954"/>
      <c r="M79" s="954"/>
      <c r="N79" s="954"/>
      <c r="O79" s="954"/>
      <c r="P79" s="954"/>
      <c r="Q79" s="954"/>
      <c r="R79" s="954"/>
      <c r="S79" s="954"/>
      <c r="T79" s="954"/>
      <c r="U79" s="954"/>
      <c r="V79" s="954"/>
      <c r="W79" s="954"/>
      <c r="X79" s="954"/>
      <c r="Y79" s="954"/>
      <c r="Z79" s="954"/>
      <c r="AA79" s="954"/>
      <c r="AB79" s="954"/>
      <c r="AC79" s="954"/>
    </row>
    <row r="80" spans="1:30" s="307" customFormat="1" x14ac:dyDescent="0.25">
      <c r="A80" s="1342"/>
      <c r="B80" s="1343" t="s">
        <v>1372</v>
      </c>
      <c r="C80" s="2063" t="s">
        <v>1973</v>
      </c>
      <c r="D80" s="2063"/>
      <c r="E80" s="2063"/>
      <c r="F80" s="2063"/>
      <c r="G80" s="2063"/>
      <c r="H80" s="2063"/>
      <c r="I80" s="2063"/>
      <c r="J80" s="1345" t="s">
        <v>1950</v>
      </c>
      <c r="K80" s="1345"/>
      <c r="L80" s="1345"/>
      <c r="M80" s="1345"/>
      <c r="N80" s="1345"/>
      <c r="O80" s="1345"/>
      <c r="P80" s="1345"/>
      <c r="Q80" s="1345"/>
      <c r="R80" s="1345"/>
      <c r="S80" s="1345"/>
      <c r="T80" s="1345"/>
      <c r="U80" s="1345"/>
      <c r="V80" s="1345"/>
      <c r="W80" s="1345"/>
      <c r="X80" s="1345"/>
      <c r="Y80" s="1345"/>
      <c r="Z80" s="1345"/>
      <c r="AA80" s="1345"/>
      <c r="AB80" s="1345"/>
      <c r="AC80" s="1345"/>
      <c r="AD80" s="1342"/>
    </row>
    <row r="81" spans="2:30" s="307" customFormat="1" x14ac:dyDescent="0.25">
      <c r="B81" s="1343" t="s">
        <v>1374</v>
      </c>
      <c r="C81" s="2064" t="s">
        <v>2016</v>
      </c>
      <c r="D81" s="2064"/>
      <c r="E81" s="2064"/>
      <c r="F81" s="2064"/>
      <c r="G81" s="2064"/>
      <c r="H81" s="2064"/>
      <c r="I81" s="2064"/>
      <c r="J81" s="1344" t="s">
        <v>2015</v>
      </c>
      <c r="K81" s="1345"/>
      <c r="L81" s="1345"/>
      <c r="M81" s="1345"/>
      <c r="N81" s="1345"/>
      <c r="O81" s="1345"/>
      <c r="P81" s="1345"/>
      <c r="Q81" s="1345"/>
      <c r="R81" s="1345"/>
      <c r="S81" s="1345"/>
      <c r="T81" s="1345"/>
      <c r="U81" s="1345"/>
      <c r="V81" s="1345"/>
      <c r="W81" s="1345"/>
      <c r="X81" s="1345"/>
      <c r="Y81" s="1345"/>
      <c r="Z81" s="1345"/>
      <c r="AA81" s="1345"/>
      <c r="AB81" s="1345"/>
      <c r="AC81" s="1345"/>
    </row>
    <row r="82" spans="2:30" s="307" customFormat="1" ht="27" customHeight="1" x14ac:dyDescent="0.25">
      <c r="B82" s="1343" t="s">
        <v>1376</v>
      </c>
      <c r="C82" s="2062" t="s">
        <v>2017</v>
      </c>
      <c r="D82" s="2062"/>
      <c r="E82" s="2062"/>
      <c r="F82" s="2062"/>
      <c r="G82" s="2062"/>
      <c r="H82" s="2062"/>
      <c r="I82" s="2062"/>
      <c r="J82" s="2062" t="s">
        <v>2018</v>
      </c>
      <c r="K82" s="2062"/>
      <c r="L82" s="2062"/>
      <c r="M82" s="2062"/>
      <c r="N82" s="2062"/>
      <c r="O82" s="2062"/>
      <c r="P82" s="2062"/>
      <c r="Q82" s="2062"/>
      <c r="R82" s="2062"/>
      <c r="S82" s="2062"/>
      <c r="T82" s="2062"/>
      <c r="U82" s="2062"/>
      <c r="V82" s="2062"/>
      <c r="W82" s="2062"/>
      <c r="X82" s="2062"/>
      <c r="Y82" s="2062"/>
      <c r="Z82" s="2062"/>
      <c r="AA82" s="2062"/>
      <c r="AB82" s="2062"/>
      <c r="AC82" s="2062"/>
      <c r="AD82" s="2062"/>
    </row>
    <row r="83" spans="2:30" s="307" customFormat="1" ht="6.9" customHeight="1" x14ac:dyDescent="0.25">
      <c r="B83" s="1181"/>
      <c r="C83" s="971"/>
      <c r="D83" s="971"/>
      <c r="E83" s="971"/>
      <c r="F83" s="971"/>
      <c r="G83" s="971"/>
      <c r="H83" s="971"/>
      <c r="I83" s="971"/>
      <c r="J83" s="2062"/>
      <c r="K83" s="2062"/>
      <c r="L83" s="2062"/>
      <c r="M83" s="2062"/>
      <c r="N83" s="2062"/>
      <c r="O83" s="2062"/>
      <c r="P83" s="2062"/>
      <c r="Q83" s="2062"/>
      <c r="R83" s="2062"/>
      <c r="S83" s="2062"/>
      <c r="T83" s="2062"/>
      <c r="U83" s="2062"/>
      <c r="V83" s="2062"/>
      <c r="W83" s="2062"/>
      <c r="X83" s="2062"/>
      <c r="Y83" s="2062"/>
      <c r="Z83" s="2062"/>
      <c r="AA83" s="2062"/>
      <c r="AB83" s="2062"/>
      <c r="AC83" s="2062"/>
      <c r="AD83" s="2062"/>
    </row>
    <row r="84" spans="2:30" ht="12" customHeight="1" x14ac:dyDescent="0.25">
      <c r="B84" s="1182"/>
      <c r="J84" s="2062"/>
      <c r="K84" s="2062"/>
      <c r="L84" s="2062"/>
      <c r="M84" s="2062"/>
      <c r="N84" s="2062"/>
      <c r="O84" s="2062"/>
      <c r="P84" s="2062"/>
      <c r="Q84" s="2062"/>
      <c r="R84" s="2062"/>
      <c r="S84" s="2062"/>
      <c r="T84" s="2062"/>
      <c r="U84" s="2062"/>
      <c r="V84" s="2062"/>
      <c r="W84" s="2062"/>
      <c r="X84" s="2062"/>
      <c r="Y84" s="2062"/>
      <c r="Z84" s="2062"/>
      <c r="AA84" s="2062"/>
      <c r="AB84" s="2062"/>
      <c r="AC84" s="2062"/>
      <c r="AD84" s="2062"/>
    </row>
  </sheetData>
  <sheetProtection formatCells="0" formatColumns="0" formatRows="0" insertRows="0" deleteRows="0" selectLockedCells="1" sort="0" autoFilter="0"/>
  <protectedRanges>
    <protectedRange sqref="J5:AC5" name="Rango2"/>
    <protectedRange sqref="B39:AC43 B33:AC35 G29:J32 H27:J28 B14:F32 G14:J26 B6:AC13 K14:AC32 B58:AC59 B80:B488 C83:AC487 B75:AC79 B60:AC68 B36:AC38 B69:AC74 B44:AC54" name="Rango1"/>
    <protectedRange sqref="B55:AC56" name="Rango1_1_1_1"/>
    <protectedRange sqref="B57:AC57" name="Rango1_1_2"/>
    <protectedRange sqref="R80:AA80 C80:J80 L80:P80 C81:AC82" name="Rango1_2"/>
  </protectedRanges>
  <mergeCells count="64">
    <mergeCell ref="C9:AC10"/>
    <mergeCell ref="C12:AC12"/>
    <mergeCell ref="B13:AC13"/>
    <mergeCell ref="B11:AC11"/>
    <mergeCell ref="B31:AC31"/>
    <mergeCell ref="J27:K27"/>
    <mergeCell ref="J28:K28"/>
    <mergeCell ref="E27:I27"/>
    <mergeCell ref="E28:I28"/>
    <mergeCell ref="C30:AC30"/>
    <mergeCell ref="C29:AC29"/>
    <mergeCell ref="C14:AC15"/>
    <mergeCell ref="B16:AC16"/>
    <mergeCell ref="C17:AC18"/>
    <mergeCell ref="C25:AC26"/>
    <mergeCell ref="B22:AC22"/>
    <mergeCell ref="L2:AC2"/>
    <mergeCell ref="L3:AC3"/>
    <mergeCell ref="L4:N4"/>
    <mergeCell ref="L5:N5"/>
    <mergeCell ref="O4:AC4"/>
    <mergeCell ref="S5:W5"/>
    <mergeCell ref="Y5:AC5"/>
    <mergeCell ref="O5:R5"/>
    <mergeCell ref="C82:I82"/>
    <mergeCell ref="C80:I80"/>
    <mergeCell ref="C81:I81"/>
    <mergeCell ref="B78:AC78"/>
    <mergeCell ref="C70:AC71"/>
    <mergeCell ref="C73:AC73"/>
    <mergeCell ref="C76:AC76"/>
    <mergeCell ref="J82:AD84"/>
    <mergeCell ref="B68:AC68"/>
    <mergeCell ref="C67:AC67"/>
    <mergeCell ref="B37:AC37"/>
    <mergeCell ref="B51:AC51"/>
    <mergeCell ref="B57:AC57"/>
    <mergeCell ref="C58:AC59"/>
    <mergeCell ref="C55:AC56"/>
    <mergeCell ref="B53:AC53"/>
    <mergeCell ref="B62:AC62"/>
    <mergeCell ref="B66:AC66"/>
    <mergeCell ref="B64:AC64"/>
    <mergeCell ref="C65:AC65"/>
    <mergeCell ref="C38:AC38"/>
    <mergeCell ref="C60:AC61"/>
    <mergeCell ref="C63:AC63"/>
    <mergeCell ref="C36:AC36"/>
    <mergeCell ref="C47:AC49"/>
    <mergeCell ref="C45:AC45"/>
    <mergeCell ref="B39:AC39"/>
    <mergeCell ref="B44:AC44"/>
    <mergeCell ref="B46:AC46"/>
    <mergeCell ref="C40:AC40"/>
    <mergeCell ref="B41:AC41"/>
    <mergeCell ref="B43:AC43"/>
    <mergeCell ref="C42:AC42"/>
    <mergeCell ref="B19:AC19"/>
    <mergeCell ref="C20:AC21"/>
    <mergeCell ref="C23:AC23"/>
    <mergeCell ref="C24:AC24"/>
    <mergeCell ref="C34:AC35"/>
    <mergeCell ref="C32:AC32"/>
    <mergeCell ref="B33:AC33"/>
  </mergeCells>
  <printOptions horizontalCentered="1"/>
  <pageMargins left="0" right="0" top="0" bottom="1.1023622047244095" header="0" footer="0"/>
  <pageSetup scale="77" fitToHeight="0" orientation="portrait" r:id="rId1"/>
  <headerFooter scaleWithDoc="0">
    <oddFooter xml:space="preserve">&amp;L&amp;"Century Gothic,Normal"&amp;8                Código cliente: DNC-02208-ELE-MC-000001
                Código interno: -&amp;R&amp;"Century Gothic,Normal"&amp;8página &amp;P de &amp;N&amp;"Arial,Normal"             &amp;K00+000  .&amp;K000000
</oddFooter>
  </headerFooter>
  <rowBreaks count="2" manualBreakCount="2">
    <brk id="45" max="16383" man="1"/>
    <brk id="76"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7"/>
  <dimension ref="A3:AB90"/>
  <sheetViews>
    <sheetView topLeftCell="A11" zoomScale="115" zoomScaleNormal="115" workbookViewId="0">
      <pane xSplit="3" topLeftCell="D1" activePane="topRight" state="frozen"/>
      <selection pane="topRight" activeCell="P37" sqref="P37"/>
    </sheetView>
  </sheetViews>
  <sheetFormatPr baseColWidth="10" defaultColWidth="11.44140625" defaultRowHeight="13.2" x14ac:dyDescent="0.25"/>
  <cols>
    <col min="1" max="1" width="12.88671875" style="54" customWidth="1"/>
    <col min="2" max="3" width="11.5546875" style="54" customWidth="1"/>
    <col min="4" max="4" width="9.5546875" style="54" bestFit="1" customWidth="1"/>
    <col min="5" max="5" width="9.109375" customWidth="1"/>
    <col min="6" max="6" width="10.5546875" bestFit="1" customWidth="1"/>
    <col min="7" max="7" width="19" customWidth="1"/>
    <col min="8" max="10" width="11.5546875" bestFit="1" customWidth="1"/>
    <col min="11" max="11" width="10.5546875" bestFit="1" customWidth="1"/>
    <col min="12" max="15" width="11.5546875" bestFit="1" customWidth="1"/>
    <col min="16" max="16" width="16.5546875" customWidth="1"/>
    <col min="17" max="17" width="9.5546875" customWidth="1"/>
    <col min="18" max="20" width="11.5546875" bestFit="1" customWidth="1"/>
    <col min="21" max="22" width="11.88671875" bestFit="1" customWidth="1"/>
    <col min="23" max="23" width="11.5546875" bestFit="1" customWidth="1"/>
  </cols>
  <sheetData>
    <row r="3" spans="1:27" x14ac:dyDescent="0.25">
      <c r="A3" s="54">
        <v>1</v>
      </c>
      <c r="B3" s="54">
        <v>2</v>
      </c>
      <c r="C3" s="54">
        <v>3</v>
      </c>
      <c r="D3" s="54">
        <v>4</v>
      </c>
      <c r="E3" s="54">
        <v>5</v>
      </c>
      <c r="F3" s="54">
        <v>6</v>
      </c>
      <c r="G3" s="54">
        <v>7</v>
      </c>
      <c r="H3" s="54">
        <v>8</v>
      </c>
      <c r="I3" s="54">
        <v>9</v>
      </c>
      <c r="J3" s="54">
        <v>10</v>
      </c>
      <c r="K3" s="54">
        <v>11</v>
      </c>
      <c r="L3" s="54">
        <v>12</v>
      </c>
      <c r="M3" s="54">
        <v>13</v>
      </c>
      <c r="N3" s="54">
        <v>14</v>
      </c>
      <c r="O3" s="54">
        <v>15</v>
      </c>
      <c r="P3" s="54">
        <v>16</v>
      </c>
      <c r="Q3" s="54">
        <v>17</v>
      </c>
      <c r="R3" s="54">
        <v>18</v>
      </c>
      <c r="S3" s="54">
        <v>19</v>
      </c>
      <c r="T3" s="54">
        <v>20</v>
      </c>
      <c r="U3" s="54">
        <v>21</v>
      </c>
      <c r="V3" s="54">
        <v>22</v>
      </c>
      <c r="W3" s="54">
        <v>23</v>
      </c>
      <c r="X3" s="54"/>
      <c r="Y3" s="54"/>
      <c r="Z3" s="54"/>
      <c r="AA3" s="54"/>
    </row>
    <row r="4" spans="1:27" x14ac:dyDescent="0.25">
      <c r="A4" s="156"/>
      <c r="B4" s="156"/>
      <c r="C4" s="156"/>
      <c r="D4" s="2075" t="s">
        <v>1483</v>
      </c>
      <c r="E4" s="2075"/>
      <c r="F4" s="2075"/>
      <c r="G4" s="2075"/>
      <c r="H4" s="2075"/>
      <c r="I4" s="2075" t="s">
        <v>1484</v>
      </c>
      <c r="J4" s="2075"/>
      <c r="K4" s="2075"/>
      <c r="L4" s="2075"/>
      <c r="M4" s="2075"/>
      <c r="N4" s="2075" t="s">
        <v>1485</v>
      </c>
      <c r="O4" s="2075"/>
      <c r="P4" s="2075"/>
      <c r="Q4" s="2075"/>
      <c r="R4" s="2075"/>
      <c r="S4" s="2075" t="s">
        <v>1486</v>
      </c>
      <c r="T4" s="2075"/>
      <c r="U4" s="2075"/>
      <c r="V4" s="2075"/>
      <c r="W4" s="2075"/>
      <c r="X4" s="76" t="s">
        <v>630</v>
      </c>
      <c r="Y4" s="76" t="s">
        <v>637</v>
      </c>
      <c r="Z4" s="76" t="s">
        <v>643</v>
      </c>
      <c r="AA4" s="76" t="s">
        <v>648</v>
      </c>
    </row>
    <row r="5" spans="1:27" x14ac:dyDescent="0.25">
      <c r="A5" s="2077" t="s">
        <v>1487</v>
      </c>
      <c r="B5" s="1636" t="s">
        <v>798</v>
      </c>
      <c r="C5" s="1636" t="s">
        <v>1488</v>
      </c>
      <c r="D5" s="2074" t="s">
        <v>1489</v>
      </c>
      <c r="E5" s="2074"/>
      <c r="F5" s="165" t="s">
        <v>1490</v>
      </c>
      <c r="G5" s="2074" t="s">
        <v>1491</v>
      </c>
      <c r="H5" s="2074"/>
      <c r="I5" s="2074" t="s">
        <v>1489</v>
      </c>
      <c r="J5" s="2074"/>
      <c r="K5" s="165" t="s">
        <v>1490</v>
      </c>
      <c r="L5" s="2074" t="s">
        <v>1491</v>
      </c>
      <c r="M5" s="2074"/>
      <c r="N5" s="2074" t="s">
        <v>1489</v>
      </c>
      <c r="O5" s="2074"/>
      <c r="P5" s="165" t="s">
        <v>1490</v>
      </c>
      <c r="Q5" s="2074" t="s">
        <v>1491</v>
      </c>
      <c r="R5" s="2074"/>
      <c r="S5" s="2074" t="s">
        <v>1489</v>
      </c>
      <c r="T5" s="2074"/>
      <c r="U5" s="165" t="s">
        <v>1490</v>
      </c>
      <c r="V5" s="2074" t="s">
        <v>1491</v>
      </c>
      <c r="W5" s="2074"/>
      <c r="X5" s="165" t="s">
        <v>1492</v>
      </c>
      <c r="Y5" s="165" t="s">
        <v>1492</v>
      </c>
      <c r="Z5" s="165" t="s">
        <v>1492</v>
      </c>
      <c r="AA5" s="165" t="s">
        <v>1492</v>
      </c>
    </row>
    <row r="6" spans="1:27" x14ac:dyDescent="0.25">
      <c r="A6" s="2077"/>
      <c r="B6" s="1636"/>
      <c r="C6" s="1636"/>
      <c r="D6" s="1636" t="s">
        <v>798</v>
      </c>
      <c r="E6" s="1636" t="s">
        <v>1493</v>
      </c>
      <c r="F6" s="2073" t="s">
        <v>947</v>
      </c>
      <c r="G6" s="1636" t="s">
        <v>947</v>
      </c>
      <c r="H6" s="1636" t="s">
        <v>1494</v>
      </c>
      <c r="I6" s="1636" t="s">
        <v>798</v>
      </c>
      <c r="J6" s="1636" t="s">
        <v>1493</v>
      </c>
      <c r="K6" s="2073" t="s">
        <v>947</v>
      </c>
      <c r="L6" s="1636" t="s">
        <v>947</v>
      </c>
      <c r="M6" s="1636" t="s">
        <v>1494</v>
      </c>
      <c r="N6" s="1636" t="s">
        <v>798</v>
      </c>
      <c r="O6" s="1636" t="s">
        <v>1493</v>
      </c>
      <c r="P6" s="2073" t="s">
        <v>947</v>
      </c>
      <c r="Q6" s="1636" t="s">
        <v>947</v>
      </c>
      <c r="R6" s="1636" t="s">
        <v>1494</v>
      </c>
      <c r="S6" s="1636" t="s">
        <v>798</v>
      </c>
      <c r="T6" s="1636" t="s">
        <v>1493</v>
      </c>
      <c r="U6" s="2073" t="s">
        <v>947</v>
      </c>
      <c r="V6" s="1636" t="s">
        <v>947</v>
      </c>
      <c r="W6" s="1636" t="s">
        <v>1494</v>
      </c>
      <c r="X6" s="2073" t="s">
        <v>947</v>
      </c>
      <c r="Y6" s="2073" t="s">
        <v>947</v>
      </c>
      <c r="Z6" s="2073" t="s">
        <v>947</v>
      </c>
      <c r="AA6" s="2073" t="s">
        <v>947</v>
      </c>
    </row>
    <row r="7" spans="1:27" x14ac:dyDescent="0.25">
      <c r="A7" s="2077"/>
      <c r="B7" s="1636"/>
      <c r="C7" s="1636"/>
      <c r="D7" s="1636"/>
      <c r="E7" s="1636"/>
      <c r="F7" s="2076"/>
      <c r="G7" s="1636"/>
      <c r="H7" s="1636"/>
      <c r="I7" s="1636"/>
      <c r="J7" s="1636"/>
      <c r="K7" s="2076"/>
      <c r="L7" s="1636"/>
      <c r="M7" s="1636"/>
      <c r="N7" s="1636"/>
      <c r="O7" s="1636"/>
      <c r="P7" s="2076"/>
      <c r="Q7" s="1636"/>
      <c r="R7" s="1636"/>
      <c r="S7" s="1636"/>
      <c r="T7" s="1636"/>
      <c r="U7" s="2076"/>
      <c r="V7" s="1636"/>
      <c r="W7" s="1636"/>
      <c r="X7" s="2073"/>
      <c r="Y7" s="2073"/>
      <c r="Z7" s="2073"/>
      <c r="AA7" s="2073"/>
    </row>
    <row r="8" spans="1:27" x14ac:dyDescent="0.25">
      <c r="A8" s="156">
        <v>3</v>
      </c>
      <c r="B8" s="156">
        <f t="shared" ref="B8:B19" si="0">+VLOOKUP($C8,$C$46:$AB$57,26,FALSE)</f>
        <v>27</v>
      </c>
      <c r="C8" s="76" t="str">
        <f>+VLOOKUP($A8,$A$46:$AA$57,3,FALSE)</f>
        <v>1"</v>
      </c>
      <c r="D8" s="191">
        <f t="shared" ref="D8:D13" si="1">+VLOOKUP($C8,$C$46:$W$57,2,FALSE)</f>
        <v>26.644599999999997</v>
      </c>
      <c r="E8" s="191">
        <f t="shared" ref="E8:E13" si="2">+VLOOKUP($C8,$C$46:$W$57,3,FALSE)</f>
        <v>1.0489999999999999</v>
      </c>
      <c r="F8" s="191">
        <f t="shared" ref="F8:F13" si="3">+VLOOKUP($C8,$C$46:$W$57,4,FALSE)</f>
        <v>223.03256668254619</v>
      </c>
      <c r="G8" s="191">
        <f t="shared" ref="G8:G13" si="4">+VLOOKUP($C8,$C$46:$W$57,5,FALSE)</f>
        <v>557.58141670636542</v>
      </c>
      <c r="H8" s="191">
        <f t="shared" ref="H8:H13" si="5">+VLOOKUP($C8,$C$46:$W$57,6,FALSE)</f>
        <v>21.952024279778168</v>
      </c>
      <c r="I8" s="191">
        <f t="shared" ref="I8:I13" si="6">+VLOOKUP($C8,$C$46:$W$57,7,FALSE)</f>
        <v>27.812999999999999</v>
      </c>
      <c r="J8" s="191">
        <f t="shared" ref="J8:J13" si="7">+VLOOKUP($C8,$C$46:$W$57,8,FALSE)</f>
        <v>1.095</v>
      </c>
      <c r="K8" s="191">
        <f t="shared" ref="K8:K13" si="8">+VLOOKUP($C8,$C$46:$W$57,9,FALSE)</f>
        <v>243.02197404995087</v>
      </c>
      <c r="L8" s="191">
        <f t="shared" ref="L8:L13" si="9">+VLOOKUP($C8,$C$46:$W$57,10,FALSE)</f>
        <v>607.55493512487715</v>
      </c>
      <c r="M8" s="191">
        <f t="shared" ref="M8:M13" si="10">+VLOOKUP($C8,$C$46:$W$57,11,FALSE)</f>
        <v>0.95899999999999996</v>
      </c>
      <c r="N8" s="191">
        <f t="shared" ref="N8:N13" si="11">+VLOOKUP($C8,$C$46:$W$57,12,FALSE)</f>
        <v>27.000199999999996</v>
      </c>
      <c r="O8" s="191">
        <f t="shared" ref="O8:O13" si="12">+VLOOKUP($C8,$C$46:$W$57,13,FALSE)</f>
        <v>1.0629999999999999</v>
      </c>
      <c r="P8" s="191">
        <f t="shared" ref="P8:P13" si="13">+VLOOKUP($C8,$C$46:$W$57,14,FALSE)</f>
        <v>229.0254973793281</v>
      </c>
      <c r="Q8" s="191">
        <f t="shared" ref="Q8:Q13" si="14">+VLOOKUP($C8,$C$46:$W$57,15,FALSE)</f>
        <v>572.56374344832022</v>
      </c>
      <c r="R8" s="191">
        <f t="shared" ref="R8:R13" si="15">+VLOOKUP($C8,$C$46:$W$57,16,FALSE)</f>
        <v>0.88700000000000001</v>
      </c>
      <c r="S8" s="191">
        <f t="shared" ref="S8:S13" si="16">+VLOOKUP($C8,$C$46:$W$57,17,FALSE)</f>
        <v>24.48</v>
      </c>
      <c r="T8" s="191">
        <f t="shared" ref="T8:T13" si="17">+VLOOKUP($C8,$C$46:$W$57,18,FALSE)</f>
        <v>0.93600000000000005</v>
      </c>
      <c r="U8" s="191">
        <f t="shared" ref="U8:U13" si="18">+VLOOKUP($C8,$C$46:$W$57,19,FALSE)</f>
        <v>188.2663486153817</v>
      </c>
      <c r="V8" s="191">
        <f t="shared" ref="V8:V13" si="19">+VLOOKUP($C8,$C$46:$W$57,20,FALSE)</f>
        <v>470.66587153845421</v>
      </c>
      <c r="W8" s="191">
        <f t="shared" ref="W8:W13" si="20">+VLOOKUP($C8,$C$46:$W$57,21,FALSE)</f>
        <v>0.68799999999999994</v>
      </c>
      <c r="X8" s="191">
        <f t="shared" ref="X8:X19" si="21">+VLOOKUP($C8,$C$46:$AA$57,22,FALSE)</f>
        <v>278.79070835318271</v>
      </c>
      <c r="Y8" s="191">
        <f t="shared" ref="Y8:Y19" si="22">+VLOOKUP($C8,$C$46:$AA$57,23,FALSE)</f>
        <v>303.77746756243857</v>
      </c>
      <c r="Z8" s="191">
        <f t="shared" ref="Z8:Z19" si="23">+VLOOKUP($C8,$C$46:$AA$57,24,FALSE)</f>
        <v>286.28187172416011</v>
      </c>
      <c r="AA8" s="191">
        <f t="shared" ref="AA8:AA19" si="24">+VLOOKUP($C8,$C$46:$AA$57,25,FALSE)</f>
        <v>235.33293576922711</v>
      </c>
    </row>
    <row r="9" spans="1:27" x14ac:dyDescent="0.25">
      <c r="A9" s="156">
        <v>3</v>
      </c>
      <c r="B9" s="156">
        <f t="shared" si="0"/>
        <v>27</v>
      </c>
      <c r="C9" s="76" t="str">
        <f t="shared" ref="C9:C19" si="25">+VLOOKUP($A9,$A$46:$AA$57,3,FALSE)</f>
        <v>1"</v>
      </c>
      <c r="D9" s="191">
        <f t="shared" si="1"/>
        <v>26.644599999999997</v>
      </c>
      <c r="E9" s="191">
        <f t="shared" si="2"/>
        <v>1.0489999999999999</v>
      </c>
      <c r="F9" s="191">
        <f t="shared" si="3"/>
        <v>223.03256668254619</v>
      </c>
      <c r="G9" s="191">
        <f t="shared" si="4"/>
        <v>557.58141670636542</v>
      </c>
      <c r="H9" s="191">
        <f t="shared" si="5"/>
        <v>21.952024279778168</v>
      </c>
      <c r="I9" s="191">
        <f t="shared" si="6"/>
        <v>27.812999999999999</v>
      </c>
      <c r="J9" s="191">
        <f t="shared" si="7"/>
        <v>1.095</v>
      </c>
      <c r="K9" s="191">
        <f t="shared" si="8"/>
        <v>243.02197404995087</v>
      </c>
      <c r="L9" s="191">
        <f t="shared" si="9"/>
        <v>607.55493512487715</v>
      </c>
      <c r="M9" s="191">
        <f t="shared" si="10"/>
        <v>0.95899999999999996</v>
      </c>
      <c r="N9" s="191">
        <f t="shared" si="11"/>
        <v>27.000199999999996</v>
      </c>
      <c r="O9" s="191">
        <f t="shared" si="12"/>
        <v>1.0629999999999999</v>
      </c>
      <c r="P9" s="191">
        <f t="shared" si="13"/>
        <v>229.0254973793281</v>
      </c>
      <c r="Q9" s="191">
        <f t="shared" si="14"/>
        <v>572.56374344832022</v>
      </c>
      <c r="R9" s="191">
        <f t="shared" si="15"/>
        <v>0.88700000000000001</v>
      </c>
      <c r="S9" s="191">
        <f t="shared" si="16"/>
        <v>24.48</v>
      </c>
      <c r="T9" s="191">
        <f t="shared" si="17"/>
        <v>0.93600000000000005</v>
      </c>
      <c r="U9" s="191">
        <f t="shared" si="18"/>
        <v>188.2663486153817</v>
      </c>
      <c r="V9" s="191">
        <f t="shared" si="19"/>
        <v>470.66587153845421</v>
      </c>
      <c r="W9" s="191">
        <f t="shared" si="20"/>
        <v>0.68799999999999994</v>
      </c>
      <c r="X9" s="191">
        <f t="shared" si="21"/>
        <v>278.79070835318271</v>
      </c>
      <c r="Y9" s="191">
        <f t="shared" si="22"/>
        <v>303.77746756243857</v>
      </c>
      <c r="Z9" s="191">
        <f t="shared" si="23"/>
        <v>286.28187172416011</v>
      </c>
      <c r="AA9" s="191">
        <f t="shared" si="24"/>
        <v>235.33293576922711</v>
      </c>
    </row>
    <row r="10" spans="1:27" x14ac:dyDescent="0.25">
      <c r="A10" s="156">
        <v>3</v>
      </c>
      <c r="B10" s="156">
        <f t="shared" si="0"/>
        <v>27</v>
      </c>
      <c r="C10" s="76" t="str">
        <f t="shared" si="25"/>
        <v>1"</v>
      </c>
      <c r="D10" s="191">
        <f t="shared" si="1"/>
        <v>26.644599999999997</v>
      </c>
      <c r="E10" s="191">
        <f t="shared" si="2"/>
        <v>1.0489999999999999</v>
      </c>
      <c r="F10" s="191">
        <f t="shared" si="3"/>
        <v>223.03256668254619</v>
      </c>
      <c r="G10" s="191">
        <f t="shared" si="4"/>
        <v>557.58141670636542</v>
      </c>
      <c r="H10" s="191">
        <f t="shared" si="5"/>
        <v>21.952024279778168</v>
      </c>
      <c r="I10" s="191">
        <f t="shared" si="6"/>
        <v>27.812999999999999</v>
      </c>
      <c r="J10" s="191">
        <f t="shared" si="7"/>
        <v>1.095</v>
      </c>
      <c r="K10" s="191">
        <f t="shared" si="8"/>
        <v>243.02197404995087</v>
      </c>
      <c r="L10" s="191">
        <f t="shared" si="9"/>
        <v>607.55493512487715</v>
      </c>
      <c r="M10" s="191">
        <f t="shared" si="10"/>
        <v>0.95899999999999996</v>
      </c>
      <c r="N10" s="191">
        <f t="shared" si="11"/>
        <v>27.000199999999996</v>
      </c>
      <c r="O10" s="191">
        <f t="shared" si="12"/>
        <v>1.0629999999999999</v>
      </c>
      <c r="P10" s="191">
        <f t="shared" si="13"/>
        <v>229.0254973793281</v>
      </c>
      <c r="Q10" s="191">
        <f t="shared" si="14"/>
        <v>572.56374344832022</v>
      </c>
      <c r="R10" s="191">
        <f t="shared" si="15"/>
        <v>0.88700000000000001</v>
      </c>
      <c r="S10" s="191">
        <f t="shared" si="16"/>
        <v>24.48</v>
      </c>
      <c r="T10" s="191">
        <f t="shared" si="17"/>
        <v>0.93600000000000005</v>
      </c>
      <c r="U10" s="191">
        <f t="shared" si="18"/>
        <v>188.2663486153817</v>
      </c>
      <c r="V10" s="191">
        <f t="shared" si="19"/>
        <v>470.66587153845421</v>
      </c>
      <c r="W10" s="191">
        <f t="shared" si="20"/>
        <v>0.68799999999999994</v>
      </c>
      <c r="X10" s="191">
        <f t="shared" si="21"/>
        <v>278.79070835318271</v>
      </c>
      <c r="Y10" s="191">
        <f t="shared" si="22"/>
        <v>303.77746756243857</v>
      </c>
      <c r="Z10" s="191">
        <f t="shared" si="23"/>
        <v>286.28187172416011</v>
      </c>
      <c r="AA10" s="191">
        <f t="shared" si="24"/>
        <v>235.33293576922711</v>
      </c>
    </row>
    <row r="11" spans="1:27" x14ac:dyDescent="0.25">
      <c r="A11" s="156">
        <v>6</v>
      </c>
      <c r="B11" s="156">
        <f t="shared" si="0"/>
        <v>53</v>
      </c>
      <c r="C11" s="76" t="str">
        <f t="shared" si="25"/>
        <v>2"</v>
      </c>
      <c r="D11" s="191">
        <f t="shared" si="1"/>
        <v>52.501800000000003</v>
      </c>
      <c r="E11" s="191">
        <f t="shared" si="2"/>
        <v>2.0670000000000002</v>
      </c>
      <c r="F11" s="191">
        <f t="shared" si="3"/>
        <v>865.96085226471575</v>
      </c>
      <c r="G11" s="191">
        <f t="shared" si="4"/>
        <v>2164.9021306617892</v>
      </c>
      <c r="H11" s="191">
        <f t="shared" si="5"/>
        <v>85.232367348889341</v>
      </c>
      <c r="I11" s="191">
        <f t="shared" si="6"/>
        <v>54.279799999999994</v>
      </c>
      <c r="J11" s="191">
        <f t="shared" si="7"/>
        <v>2.137</v>
      </c>
      <c r="K11" s="191">
        <f t="shared" si="8"/>
        <v>925.60640304424021</v>
      </c>
      <c r="L11" s="191">
        <f t="shared" si="9"/>
        <v>2314.0160076106004</v>
      </c>
      <c r="M11" s="191">
        <f t="shared" si="10"/>
        <v>3.63</v>
      </c>
      <c r="N11" s="191">
        <f t="shared" si="11"/>
        <v>52.908200000000001</v>
      </c>
      <c r="O11" s="191">
        <f t="shared" si="12"/>
        <v>2.0830000000000002</v>
      </c>
      <c r="P11" s="191">
        <f t="shared" si="13"/>
        <v>879.41900290954516</v>
      </c>
      <c r="Q11" s="191">
        <f t="shared" si="14"/>
        <v>2198.5475072738627</v>
      </c>
      <c r="R11" s="191">
        <f t="shared" si="15"/>
        <v>3.4079999999999999</v>
      </c>
      <c r="S11" s="191">
        <f t="shared" si="16"/>
        <v>56.96</v>
      </c>
      <c r="T11" s="191">
        <f t="shared" si="17"/>
        <v>1.913</v>
      </c>
      <c r="U11" s="191">
        <f t="shared" si="18"/>
        <v>1019.2713895561116</v>
      </c>
      <c r="V11" s="191">
        <f t="shared" si="19"/>
        <v>2548.1784738902788</v>
      </c>
      <c r="W11" s="191">
        <f t="shared" si="20"/>
        <v>2.8740000000000001</v>
      </c>
      <c r="X11" s="191">
        <f t="shared" si="21"/>
        <v>1082.4510653308946</v>
      </c>
      <c r="Y11" s="191">
        <f t="shared" si="22"/>
        <v>1157.0080038053002</v>
      </c>
      <c r="Z11" s="191">
        <f t="shared" si="23"/>
        <v>1099.2737536369314</v>
      </c>
      <c r="AA11" s="191">
        <f t="shared" si="24"/>
        <v>1274.0892369451394</v>
      </c>
    </row>
    <row r="12" spans="1:27" x14ac:dyDescent="0.25">
      <c r="A12" s="156">
        <v>6</v>
      </c>
      <c r="B12" s="156">
        <f t="shared" si="0"/>
        <v>53</v>
      </c>
      <c r="C12" s="76" t="str">
        <f t="shared" si="25"/>
        <v>2"</v>
      </c>
      <c r="D12" s="191">
        <f t="shared" si="1"/>
        <v>52.501800000000003</v>
      </c>
      <c r="E12" s="191">
        <f t="shared" si="2"/>
        <v>2.0670000000000002</v>
      </c>
      <c r="F12" s="191">
        <f t="shared" si="3"/>
        <v>865.96085226471575</v>
      </c>
      <c r="G12" s="191">
        <f t="shared" si="4"/>
        <v>2164.9021306617892</v>
      </c>
      <c r="H12" s="191">
        <f t="shared" si="5"/>
        <v>85.232367348889341</v>
      </c>
      <c r="I12" s="191">
        <f t="shared" si="6"/>
        <v>54.279799999999994</v>
      </c>
      <c r="J12" s="191">
        <f t="shared" si="7"/>
        <v>2.137</v>
      </c>
      <c r="K12" s="191">
        <f t="shared" si="8"/>
        <v>925.60640304424021</v>
      </c>
      <c r="L12" s="191">
        <f t="shared" si="9"/>
        <v>2314.0160076106004</v>
      </c>
      <c r="M12" s="191">
        <f t="shared" si="10"/>
        <v>3.63</v>
      </c>
      <c r="N12" s="191">
        <f t="shared" si="11"/>
        <v>52.908200000000001</v>
      </c>
      <c r="O12" s="191">
        <f t="shared" si="12"/>
        <v>2.0830000000000002</v>
      </c>
      <c r="P12" s="191">
        <f t="shared" si="13"/>
        <v>879.41900290954516</v>
      </c>
      <c r="Q12" s="191">
        <f t="shared" si="14"/>
        <v>2198.5475072738627</v>
      </c>
      <c r="R12" s="191">
        <f t="shared" si="15"/>
        <v>3.4079999999999999</v>
      </c>
      <c r="S12" s="191">
        <f>+VLOOKUP($C12,$C$46:$W$57,17,FALSE)</f>
        <v>56.96</v>
      </c>
      <c r="T12" s="191">
        <f t="shared" si="17"/>
        <v>1.913</v>
      </c>
      <c r="U12" s="191">
        <f t="shared" si="18"/>
        <v>1019.2713895561116</v>
      </c>
      <c r="V12" s="191">
        <f t="shared" si="19"/>
        <v>2548.1784738902788</v>
      </c>
      <c r="W12" s="191">
        <f t="shared" si="20"/>
        <v>2.8740000000000001</v>
      </c>
      <c r="X12" s="191">
        <f t="shared" si="21"/>
        <v>1082.4510653308946</v>
      </c>
      <c r="Y12" s="191">
        <f t="shared" si="22"/>
        <v>1157.0080038053002</v>
      </c>
      <c r="Z12" s="191">
        <f t="shared" si="23"/>
        <v>1099.2737536369314</v>
      </c>
      <c r="AA12" s="191">
        <f t="shared" si="24"/>
        <v>1274.0892369451394</v>
      </c>
    </row>
    <row r="13" spans="1:27" x14ac:dyDescent="0.25">
      <c r="A13" s="156">
        <v>6</v>
      </c>
      <c r="B13" s="156">
        <f t="shared" si="0"/>
        <v>53</v>
      </c>
      <c r="C13" s="76" t="str">
        <f t="shared" si="25"/>
        <v>2"</v>
      </c>
      <c r="D13" s="191">
        <f t="shared" si="1"/>
        <v>52.501800000000003</v>
      </c>
      <c r="E13" s="191">
        <f t="shared" si="2"/>
        <v>2.0670000000000002</v>
      </c>
      <c r="F13" s="191">
        <f t="shared" si="3"/>
        <v>865.96085226471575</v>
      </c>
      <c r="G13" s="191">
        <f t="shared" si="4"/>
        <v>2164.9021306617892</v>
      </c>
      <c r="H13" s="191">
        <f t="shared" si="5"/>
        <v>85.232367348889341</v>
      </c>
      <c r="I13" s="191">
        <f t="shared" si="6"/>
        <v>54.279799999999994</v>
      </c>
      <c r="J13" s="191">
        <f t="shared" si="7"/>
        <v>2.137</v>
      </c>
      <c r="K13" s="191">
        <f t="shared" si="8"/>
        <v>925.60640304424021</v>
      </c>
      <c r="L13" s="191">
        <f t="shared" si="9"/>
        <v>2314.0160076106004</v>
      </c>
      <c r="M13" s="191">
        <f t="shared" si="10"/>
        <v>3.63</v>
      </c>
      <c r="N13" s="191">
        <f t="shared" si="11"/>
        <v>52.908200000000001</v>
      </c>
      <c r="O13" s="191">
        <f t="shared" si="12"/>
        <v>2.0830000000000002</v>
      </c>
      <c r="P13" s="191">
        <f t="shared" si="13"/>
        <v>879.41900290954516</v>
      </c>
      <c r="Q13" s="191">
        <f t="shared" si="14"/>
        <v>2198.5475072738627</v>
      </c>
      <c r="R13" s="191">
        <f t="shared" si="15"/>
        <v>3.4079999999999999</v>
      </c>
      <c r="S13" s="191">
        <f t="shared" si="16"/>
        <v>56.96</v>
      </c>
      <c r="T13" s="191">
        <f t="shared" si="17"/>
        <v>1.913</v>
      </c>
      <c r="U13" s="191">
        <f t="shared" si="18"/>
        <v>1019.2713895561116</v>
      </c>
      <c r="V13" s="191">
        <f t="shared" si="19"/>
        <v>2548.1784738902788</v>
      </c>
      <c r="W13" s="191">
        <f t="shared" si="20"/>
        <v>2.8740000000000001</v>
      </c>
      <c r="X13" s="191">
        <f t="shared" si="21"/>
        <v>1082.4510653308946</v>
      </c>
      <c r="Y13" s="191">
        <f t="shared" si="22"/>
        <v>1157.0080038053002</v>
      </c>
      <c r="Z13" s="191">
        <f t="shared" si="23"/>
        <v>1099.2737536369314</v>
      </c>
      <c r="AA13" s="191">
        <f t="shared" si="24"/>
        <v>1274.0892369451394</v>
      </c>
    </row>
    <row r="14" spans="1:27" x14ac:dyDescent="0.25">
      <c r="A14" s="156">
        <v>8</v>
      </c>
      <c r="B14" s="156">
        <f t="shared" si="0"/>
        <v>78</v>
      </c>
      <c r="C14" s="76" t="str">
        <f t="shared" si="25"/>
        <v>3"</v>
      </c>
      <c r="D14" s="191">
        <f t="shared" ref="D14:D19" si="26">+VLOOKUP($C14,$C$46:$W$57,2,FALSE)</f>
        <v>85.242399999999989</v>
      </c>
      <c r="E14" s="191">
        <f t="shared" ref="E14:E19" si="27">+VLOOKUP($C14,$C$46:$W$57,3,FALSE)</f>
        <v>3.3559999999999999</v>
      </c>
      <c r="F14" s="191">
        <f t="shared" ref="F14:F19" si="28">+VLOOKUP($C14,$C$46:$W$57,4,FALSE)</f>
        <v>2282.7650265202533</v>
      </c>
      <c r="G14" s="191">
        <f t="shared" ref="G14:G19" si="29">+VLOOKUP($C14,$C$46:$W$57,5,FALSE)</f>
        <v>5706.9125663006334</v>
      </c>
      <c r="H14" s="191">
        <f t="shared" ref="H14:H19" si="30">+VLOOKUP($C14,$C$46:$W$57,6,FALSE)</f>
        <v>224.68159709845014</v>
      </c>
      <c r="I14" s="191">
        <f t="shared" ref="I14:I19" si="31">+VLOOKUP($C14,$C$46:$W$57,7,FALSE)</f>
        <v>80.41640000000001</v>
      </c>
      <c r="J14" s="191">
        <f t="shared" ref="J14:J19" si="32">+VLOOKUP($C14,$C$46:$W$57,8,FALSE)</f>
        <v>3.1660000000000004</v>
      </c>
      <c r="K14" s="191">
        <f t="shared" ref="K14:K19" si="33">+VLOOKUP($C14,$C$46:$W$57,9,FALSE)</f>
        <v>2031.6043169410398</v>
      </c>
      <c r="L14" s="191">
        <f t="shared" ref="L14:L19" si="34">+VLOOKUP($C14,$C$46:$W$57,10,FALSE)</f>
        <v>5079.0107923525993</v>
      </c>
      <c r="M14" s="191">
        <f t="shared" ref="M14:M19" si="35">+VLOOKUP($C14,$C$46:$W$57,11,FALSE)</f>
        <v>7.9219999999999997</v>
      </c>
      <c r="N14" s="191">
        <f t="shared" ref="N14:N19" si="36">+VLOOKUP($C14,$C$46:$W$57,12,FALSE)</f>
        <v>78.48599999999999</v>
      </c>
      <c r="O14" s="191">
        <f t="shared" ref="O14:O19" si="37">+VLOOKUP($C14,$C$46:$W$57,13,FALSE)</f>
        <v>3.09</v>
      </c>
      <c r="P14" s="191">
        <f t="shared" ref="P14:P19" si="38">+VLOOKUP($C14,$C$46:$W$57,14,FALSE)</f>
        <v>1935.2374724683268</v>
      </c>
      <c r="Q14" s="191">
        <f t="shared" ref="Q14:Q19" si="39">+VLOOKUP($C14,$C$46:$W$57,15,FALSE)</f>
        <v>4838.093681170817</v>
      </c>
      <c r="R14" s="191">
        <f t="shared" ref="R14:R19" si="40">+VLOOKUP($C14,$C$46:$W$57,16,FALSE)</f>
        <v>7.4989999999999997</v>
      </c>
      <c r="S14" s="191">
        <f t="shared" ref="S14:S19" si="41">+VLOOKUP($C14,$C$46:$W$57,17,FALSE)</f>
        <v>83.76</v>
      </c>
      <c r="T14" s="191">
        <f t="shared" ref="T14:T19" si="42">+VLOOKUP($C14,$C$46:$W$57,18,FALSE)</f>
        <v>2.8639999999999999</v>
      </c>
      <c r="U14" s="191">
        <f t="shared" ref="U14:U19" si="43">+VLOOKUP($C14,$C$46:$W$57,19,FALSE)</f>
        <v>2204.0589703673691</v>
      </c>
      <c r="V14" s="191">
        <f t="shared" ref="V14:V19" si="44">+VLOOKUP($C14,$C$46:$W$57,20,FALSE)</f>
        <v>5510.1474259184224</v>
      </c>
      <c r="W14" s="191">
        <f t="shared" ref="W14:W19" si="45">+VLOOKUP($C14,$C$46:$W$57,21,FALSE)</f>
        <v>6.4420000000000002</v>
      </c>
      <c r="X14" s="191">
        <f t="shared" si="21"/>
        <v>2853.4562831503167</v>
      </c>
      <c r="Y14" s="191">
        <f t="shared" si="22"/>
        <v>2539.5053961762997</v>
      </c>
      <c r="Z14" s="191">
        <f t="shared" si="23"/>
        <v>2419.0468405854085</v>
      </c>
      <c r="AA14" s="191">
        <f t="shared" si="24"/>
        <v>2755.0737129592112</v>
      </c>
    </row>
    <row r="15" spans="1:27" x14ac:dyDescent="0.25">
      <c r="A15" s="156">
        <v>8</v>
      </c>
      <c r="B15" s="156">
        <f t="shared" si="0"/>
        <v>78</v>
      </c>
      <c r="C15" s="76" t="str">
        <f t="shared" si="25"/>
        <v>3"</v>
      </c>
      <c r="D15" s="191">
        <f t="shared" si="26"/>
        <v>85.242399999999989</v>
      </c>
      <c r="E15" s="191">
        <f t="shared" si="27"/>
        <v>3.3559999999999999</v>
      </c>
      <c r="F15" s="191">
        <f t="shared" si="28"/>
        <v>2282.7650265202533</v>
      </c>
      <c r="G15" s="191">
        <f t="shared" si="29"/>
        <v>5706.9125663006334</v>
      </c>
      <c r="H15" s="191">
        <f t="shared" si="30"/>
        <v>224.68159709845014</v>
      </c>
      <c r="I15" s="191">
        <f t="shared" si="31"/>
        <v>80.41640000000001</v>
      </c>
      <c r="J15" s="191">
        <f t="shared" si="32"/>
        <v>3.1660000000000004</v>
      </c>
      <c r="K15" s="191">
        <f t="shared" si="33"/>
        <v>2031.6043169410398</v>
      </c>
      <c r="L15" s="191">
        <f t="shared" si="34"/>
        <v>5079.0107923525993</v>
      </c>
      <c r="M15" s="191">
        <f t="shared" si="35"/>
        <v>7.9219999999999997</v>
      </c>
      <c r="N15" s="191">
        <f t="shared" si="36"/>
        <v>78.48599999999999</v>
      </c>
      <c r="O15" s="191">
        <f t="shared" si="37"/>
        <v>3.09</v>
      </c>
      <c r="P15" s="191">
        <f t="shared" si="38"/>
        <v>1935.2374724683268</v>
      </c>
      <c r="Q15" s="191">
        <f t="shared" si="39"/>
        <v>4838.093681170817</v>
      </c>
      <c r="R15" s="191">
        <f t="shared" si="40"/>
        <v>7.4989999999999997</v>
      </c>
      <c r="S15" s="191">
        <f t="shared" si="41"/>
        <v>83.76</v>
      </c>
      <c r="T15" s="191">
        <f t="shared" si="42"/>
        <v>2.8639999999999999</v>
      </c>
      <c r="U15" s="191">
        <f t="shared" si="43"/>
        <v>2204.0589703673691</v>
      </c>
      <c r="V15" s="191">
        <f t="shared" si="44"/>
        <v>5510.1474259184224</v>
      </c>
      <c r="W15" s="191">
        <f t="shared" si="45"/>
        <v>6.4420000000000002</v>
      </c>
      <c r="X15" s="191">
        <f t="shared" si="21"/>
        <v>2853.4562831503167</v>
      </c>
      <c r="Y15" s="191">
        <f t="shared" si="22"/>
        <v>2539.5053961762997</v>
      </c>
      <c r="Z15" s="191">
        <f t="shared" si="23"/>
        <v>2419.0468405854085</v>
      </c>
      <c r="AA15" s="191">
        <f t="shared" si="24"/>
        <v>2755.0737129592112</v>
      </c>
    </row>
    <row r="16" spans="1:27" x14ac:dyDescent="0.25">
      <c r="A16" s="156">
        <v>10</v>
      </c>
      <c r="B16" s="156">
        <f t="shared" si="0"/>
        <v>103</v>
      </c>
      <c r="C16" s="76" t="str">
        <f t="shared" si="25"/>
        <v>4"</v>
      </c>
      <c r="D16" s="191">
        <f t="shared" si="26"/>
        <v>110.08359999999999</v>
      </c>
      <c r="E16" s="191">
        <f t="shared" si="27"/>
        <v>4.3339999999999996</v>
      </c>
      <c r="F16" s="191">
        <f t="shared" si="28"/>
        <v>3807.1073236986704</v>
      </c>
      <c r="G16" s="191">
        <f t="shared" si="29"/>
        <v>9517.7683092466759</v>
      </c>
      <c r="H16" s="191">
        <f t="shared" si="30"/>
        <v>374.71528776561718</v>
      </c>
      <c r="I16" s="191">
        <f t="shared" si="31"/>
        <v>105.56239999999998</v>
      </c>
      <c r="J16" s="191">
        <f t="shared" si="32"/>
        <v>4.1559999999999997</v>
      </c>
      <c r="K16" s="191">
        <f t="shared" si="33"/>
        <v>3500.8087330739822</v>
      </c>
      <c r="L16" s="191">
        <f t="shared" si="34"/>
        <v>8752.0218326849554</v>
      </c>
      <c r="M16" s="191">
        <f t="shared" si="35"/>
        <v>13.631</v>
      </c>
      <c r="N16" s="191">
        <f t="shared" si="36"/>
        <v>102.86999999999999</v>
      </c>
      <c r="O16" s="191">
        <f t="shared" si="37"/>
        <v>4.05</v>
      </c>
      <c r="P16" s="191">
        <f t="shared" si="38"/>
        <v>3324.5077703586826</v>
      </c>
      <c r="Q16" s="191">
        <f t="shared" si="39"/>
        <v>8311.2694258967058</v>
      </c>
      <c r="R16" s="191">
        <f t="shared" si="40"/>
        <v>12.882</v>
      </c>
      <c r="S16" s="191">
        <f t="shared" si="41"/>
        <v>107.34</v>
      </c>
      <c r="T16" s="191">
        <f t="shared" si="42"/>
        <v>3.786</v>
      </c>
      <c r="U16" s="191">
        <f t="shared" si="43"/>
        <v>3619.7039740535497</v>
      </c>
      <c r="V16" s="191">
        <f t="shared" si="44"/>
        <v>9049.259935133874</v>
      </c>
      <c r="W16" s="191">
        <f t="shared" si="45"/>
        <v>11.257999999999999</v>
      </c>
      <c r="X16" s="191">
        <f t="shared" si="21"/>
        <v>4758.884154623338</v>
      </c>
      <c r="Y16" s="191">
        <f t="shared" si="22"/>
        <v>4376.0109163424777</v>
      </c>
      <c r="Z16" s="191">
        <f t="shared" si="23"/>
        <v>4155.6347129483529</v>
      </c>
      <c r="AA16" s="191">
        <f t="shared" si="24"/>
        <v>4524.629967566937</v>
      </c>
    </row>
    <row r="17" spans="1:27" x14ac:dyDescent="0.25">
      <c r="A17" s="156">
        <v>10</v>
      </c>
      <c r="B17" s="156">
        <f t="shared" si="0"/>
        <v>103</v>
      </c>
      <c r="C17" s="76" t="str">
        <f t="shared" si="25"/>
        <v>4"</v>
      </c>
      <c r="D17" s="191">
        <f t="shared" si="26"/>
        <v>110.08359999999999</v>
      </c>
      <c r="E17" s="191">
        <f t="shared" si="27"/>
        <v>4.3339999999999996</v>
      </c>
      <c r="F17" s="191">
        <f t="shared" si="28"/>
        <v>3807.1073236986704</v>
      </c>
      <c r="G17" s="191">
        <f t="shared" si="29"/>
        <v>9517.7683092466759</v>
      </c>
      <c r="H17" s="191">
        <f t="shared" si="30"/>
        <v>374.71528776561718</v>
      </c>
      <c r="I17" s="191">
        <f t="shared" si="31"/>
        <v>105.56239999999998</v>
      </c>
      <c r="J17" s="191">
        <f t="shared" si="32"/>
        <v>4.1559999999999997</v>
      </c>
      <c r="K17" s="191">
        <f t="shared" si="33"/>
        <v>3500.8087330739822</v>
      </c>
      <c r="L17" s="191">
        <f t="shared" si="34"/>
        <v>8752.0218326849554</v>
      </c>
      <c r="M17" s="191">
        <f t="shared" si="35"/>
        <v>13.631</v>
      </c>
      <c r="N17" s="191">
        <f t="shared" si="36"/>
        <v>102.86999999999999</v>
      </c>
      <c r="O17" s="191">
        <f t="shared" si="37"/>
        <v>4.05</v>
      </c>
      <c r="P17" s="191">
        <f t="shared" si="38"/>
        <v>3324.5077703586826</v>
      </c>
      <c r="Q17" s="191">
        <f t="shared" si="39"/>
        <v>8311.2694258967058</v>
      </c>
      <c r="R17" s="191">
        <f t="shared" si="40"/>
        <v>12.882</v>
      </c>
      <c r="S17" s="191">
        <f>+VLOOKUP($C17,$C$46:$W$57,17,FALSE)</f>
        <v>107.34</v>
      </c>
      <c r="T17" s="191">
        <f t="shared" si="42"/>
        <v>3.786</v>
      </c>
      <c r="U17" s="191">
        <f t="shared" si="43"/>
        <v>3619.7039740535497</v>
      </c>
      <c r="V17" s="191">
        <f t="shared" si="44"/>
        <v>9049.259935133874</v>
      </c>
      <c r="W17" s="191">
        <f t="shared" si="45"/>
        <v>11.257999999999999</v>
      </c>
      <c r="X17" s="191">
        <f t="shared" si="21"/>
        <v>4758.884154623338</v>
      </c>
      <c r="Y17" s="191">
        <f t="shared" si="22"/>
        <v>4376.0109163424777</v>
      </c>
      <c r="Z17" s="191">
        <f t="shared" si="23"/>
        <v>4155.6347129483529</v>
      </c>
      <c r="AA17" s="191">
        <f t="shared" si="24"/>
        <v>4524.629967566937</v>
      </c>
    </row>
    <row r="18" spans="1:27" x14ac:dyDescent="0.25">
      <c r="A18" s="156">
        <v>11</v>
      </c>
      <c r="B18" s="156">
        <f t="shared" si="0"/>
        <v>129</v>
      </c>
      <c r="C18" s="76" t="str">
        <f t="shared" si="25"/>
        <v>6"</v>
      </c>
      <c r="D18" s="191">
        <f t="shared" si="26"/>
        <v>0</v>
      </c>
      <c r="E18" s="191">
        <f t="shared" si="27"/>
        <v>0</v>
      </c>
      <c r="F18" s="191">
        <f t="shared" si="28"/>
        <v>0</v>
      </c>
      <c r="G18" s="191">
        <f t="shared" si="29"/>
        <v>0</v>
      </c>
      <c r="H18" s="191">
        <f t="shared" si="30"/>
        <v>0</v>
      </c>
      <c r="I18" s="191">
        <f t="shared" si="31"/>
        <v>0</v>
      </c>
      <c r="J18" s="191">
        <f t="shared" si="32"/>
        <v>0</v>
      </c>
      <c r="K18" s="191">
        <f t="shared" si="33"/>
        <v>0</v>
      </c>
      <c r="L18" s="191">
        <f t="shared" si="34"/>
        <v>0</v>
      </c>
      <c r="M18" s="191">
        <f t="shared" si="35"/>
        <v>0</v>
      </c>
      <c r="N18" s="191">
        <f t="shared" si="36"/>
        <v>154.76219999999998</v>
      </c>
      <c r="O18" s="191">
        <f t="shared" si="37"/>
        <v>6.093</v>
      </c>
      <c r="P18" s="191">
        <f t="shared" si="38"/>
        <v>7524.5349228677751</v>
      </c>
      <c r="Q18" s="191">
        <f t="shared" si="39"/>
        <v>18811.337307169437</v>
      </c>
      <c r="R18" s="191">
        <f t="shared" si="40"/>
        <v>20.212</v>
      </c>
      <c r="S18" s="191">
        <f t="shared" si="41"/>
        <v>159.04</v>
      </c>
      <c r="T18" s="191">
        <f t="shared" si="42"/>
        <v>4.7679999999999998</v>
      </c>
      <c r="U18" s="191">
        <f t="shared" si="43"/>
        <v>7946.2569960505461</v>
      </c>
      <c r="V18" s="191">
        <f t="shared" si="44"/>
        <v>19865.642490126364</v>
      </c>
      <c r="W18" s="191">
        <f t="shared" si="45"/>
        <v>17.855</v>
      </c>
      <c r="X18" s="191">
        <f t="shared" si="21"/>
        <v>0</v>
      </c>
      <c r="Y18" s="191">
        <f t="shared" si="22"/>
        <v>0</v>
      </c>
      <c r="Z18" s="191">
        <f t="shared" si="23"/>
        <v>9405.6686535847184</v>
      </c>
      <c r="AA18" s="191">
        <f t="shared" si="24"/>
        <v>9932.8212450631818</v>
      </c>
    </row>
    <row r="19" spans="1:27" x14ac:dyDescent="0.25">
      <c r="A19" s="156">
        <v>12</v>
      </c>
      <c r="B19" s="156">
        <f t="shared" si="0"/>
        <v>155</v>
      </c>
      <c r="C19" s="76" t="str">
        <f t="shared" si="25"/>
        <v>8"</v>
      </c>
      <c r="D19" s="191">
        <f t="shared" si="26"/>
        <v>0</v>
      </c>
      <c r="E19" s="191">
        <f t="shared" si="27"/>
        <v>0</v>
      </c>
      <c r="F19" s="191">
        <f t="shared" si="28"/>
        <v>0</v>
      </c>
      <c r="G19" s="191">
        <f t="shared" si="29"/>
        <v>0</v>
      </c>
      <c r="H19" s="191">
        <f t="shared" si="30"/>
        <v>0</v>
      </c>
      <c r="I19" s="191">
        <f t="shared" si="31"/>
        <v>0</v>
      </c>
      <c r="J19" s="191">
        <f t="shared" si="32"/>
        <v>0</v>
      </c>
      <c r="K19" s="191">
        <f t="shared" si="33"/>
        <v>0</v>
      </c>
      <c r="L19" s="191">
        <f t="shared" si="34"/>
        <v>0</v>
      </c>
      <c r="M19" s="191">
        <f t="shared" si="35"/>
        <v>0</v>
      </c>
      <c r="N19" s="191">
        <f t="shared" si="36"/>
        <v>0</v>
      </c>
      <c r="O19" s="191">
        <f t="shared" si="37"/>
        <v>0</v>
      </c>
      <c r="P19" s="191">
        <f t="shared" si="38"/>
        <v>0</v>
      </c>
      <c r="Q19" s="191">
        <f t="shared" si="39"/>
        <v>0</v>
      </c>
      <c r="R19" s="191">
        <f t="shared" si="40"/>
        <v>29.158000000000001</v>
      </c>
      <c r="S19" s="191">
        <f t="shared" si="41"/>
        <v>0</v>
      </c>
      <c r="T19" s="191">
        <f t="shared" si="42"/>
        <v>0</v>
      </c>
      <c r="U19" s="191">
        <f t="shared" si="43"/>
        <v>0</v>
      </c>
      <c r="V19" s="191">
        <f t="shared" si="44"/>
        <v>0</v>
      </c>
      <c r="W19" s="191">
        <f t="shared" si="45"/>
        <v>0</v>
      </c>
      <c r="X19" s="191">
        <f t="shared" si="21"/>
        <v>0</v>
      </c>
      <c r="Y19" s="191">
        <f t="shared" si="22"/>
        <v>0</v>
      </c>
      <c r="Z19" s="191">
        <f t="shared" si="23"/>
        <v>0</v>
      </c>
      <c r="AA19" s="191">
        <f t="shared" si="24"/>
        <v>0</v>
      </c>
    </row>
    <row r="20" spans="1:27" x14ac:dyDescent="0.25">
      <c r="G20" s="3"/>
      <c r="H20" s="3"/>
    </row>
    <row r="21" spans="1:27" x14ac:dyDescent="0.25">
      <c r="G21" s="3"/>
      <c r="H21" s="3"/>
    </row>
    <row r="22" spans="1:27" s="164" customFormat="1" ht="27" customHeight="1" x14ac:dyDescent="0.25">
      <c r="A22" s="158" t="s">
        <v>580</v>
      </c>
      <c r="B22" s="158" t="s">
        <v>1495</v>
      </c>
      <c r="C22" s="158" t="s">
        <v>1496</v>
      </c>
      <c r="D22" s="158" t="s">
        <v>1497</v>
      </c>
      <c r="E22" s="162" t="s">
        <v>1498</v>
      </c>
      <c r="F22" s="162"/>
      <c r="G22" s="162" t="s">
        <v>1499</v>
      </c>
      <c r="H22" s="163"/>
      <c r="I22" s="251" t="s">
        <v>1500</v>
      </c>
      <c r="K22" s="162"/>
      <c r="L22" s="143" t="s">
        <v>1501</v>
      </c>
      <c r="M22" s="143" t="s">
        <v>1502</v>
      </c>
      <c r="N22" s="143" t="s">
        <v>1503</v>
      </c>
      <c r="O22" s="143" t="s">
        <v>1503</v>
      </c>
      <c r="P22" s="158" t="s">
        <v>1495</v>
      </c>
      <c r="Q22" s="158" t="s">
        <v>1317</v>
      </c>
      <c r="U22" s="162"/>
    </row>
    <row r="23" spans="1:27" x14ac:dyDescent="0.25">
      <c r="A23" s="149" t="s">
        <v>1504</v>
      </c>
      <c r="B23" s="54" t="s">
        <v>947</v>
      </c>
      <c r="E23" s="157" t="s">
        <v>624</v>
      </c>
      <c r="F23" s="157"/>
      <c r="G23" s="157" t="s">
        <v>624</v>
      </c>
      <c r="H23" s="3"/>
      <c r="I23" s="157"/>
      <c r="K23" s="157"/>
      <c r="L23" s="149" t="s">
        <v>1504</v>
      </c>
      <c r="M23" s="149" t="s">
        <v>1504</v>
      </c>
      <c r="N23" s="149" t="s">
        <v>1505</v>
      </c>
      <c r="O23" s="149" t="s">
        <v>799</v>
      </c>
      <c r="P23" s="54" t="s">
        <v>947</v>
      </c>
      <c r="Q23" s="54"/>
      <c r="U23" s="157"/>
    </row>
    <row r="24" spans="1:27" x14ac:dyDescent="0.25">
      <c r="E24" s="54">
        <v>1</v>
      </c>
      <c r="F24" s="54"/>
      <c r="G24" s="149" t="s">
        <v>599</v>
      </c>
      <c r="H24" s="3"/>
      <c r="I24" s="149" t="s">
        <v>1506</v>
      </c>
      <c r="K24" s="54"/>
      <c r="P24" s="54"/>
      <c r="U24" s="54"/>
    </row>
    <row r="25" spans="1:27" x14ac:dyDescent="0.25">
      <c r="A25" s="54">
        <v>90</v>
      </c>
      <c r="B25" s="54">
        <v>25200</v>
      </c>
      <c r="C25" s="54">
        <v>27000</v>
      </c>
      <c r="D25" s="157" t="s">
        <v>624</v>
      </c>
      <c r="E25" s="54">
        <v>2</v>
      </c>
      <c r="F25" s="54"/>
      <c r="G25" s="149" t="s">
        <v>1055</v>
      </c>
      <c r="H25" s="3"/>
      <c r="I25" s="149" t="s">
        <v>1158</v>
      </c>
      <c r="K25" s="54"/>
      <c r="L25" s="54">
        <v>90</v>
      </c>
      <c r="M25" s="54">
        <v>10</v>
      </c>
      <c r="N25" s="54">
        <f>+L25*M25</f>
        <v>900</v>
      </c>
      <c r="O25" s="54">
        <f>+N25*100</f>
        <v>90000</v>
      </c>
      <c r="P25" s="54">
        <v>25200</v>
      </c>
      <c r="Q25" s="54">
        <f>+P25/O25*100</f>
        <v>28.000000000000004</v>
      </c>
      <c r="R25" s="54"/>
      <c r="S25" s="54"/>
      <c r="T25" s="54"/>
      <c r="U25" s="54"/>
    </row>
    <row r="26" spans="1:27" s="159" customFormat="1" x14ac:dyDescent="0.25">
      <c r="A26" s="54">
        <v>75</v>
      </c>
      <c r="B26" s="54">
        <v>21000</v>
      </c>
      <c r="C26" s="54">
        <v>22500</v>
      </c>
      <c r="D26" s="76" t="s">
        <v>810</v>
      </c>
      <c r="E26" s="54">
        <v>3</v>
      </c>
      <c r="F26" s="54"/>
      <c r="G26" s="158"/>
      <c r="H26" s="160"/>
      <c r="I26" s="160"/>
      <c r="K26" s="54"/>
      <c r="L26" s="54">
        <v>75</v>
      </c>
      <c r="M26" s="54">
        <v>10</v>
      </c>
      <c r="N26" s="54">
        <f t="shared" ref="N26:N36" si="46">+L26*M26</f>
        <v>750</v>
      </c>
      <c r="O26" s="54">
        <f t="shared" ref="O26:O36" si="47">+N26*100</f>
        <v>75000</v>
      </c>
      <c r="P26" s="54">
        <v>21000</v>
      </c>
      <c r="Q26" s="54">
        <f t="shared" ref="Q26:Q36" si="48">+P26/O26*100</f>
        <v>28.000000000000004</v>
      </c>
      <c r="R26" s="54"/>
      <c r="S26" s="54"/>
      <c r="T26" s="54"/>
      <c r="U26" s="54"/>
    </row>
    <row r="27" spans="1:27" x14ac:dyDescent="0.25">
      <c r="A27" s="54">
        <v>60</v>
      </c>
      <c r="B27" s="54">
        <v>16800</v>
      </c>
      <c r="C27" s="54">
        <v>18000</v>
      </c>
      <c r="D27" s="78" t="s">
        <v>609</v>
      </c>
      <c r="E27" s="54">
        <v>4</v>
      </c>
      <c r="F27" s="54"/>
      <c r="G27" s="54"/>
      <c r="H27" s="3"/>
      <c r="I27" s="3"/>
      <c r="K27" s="54"/>
      <c r="L27" s="54">
        <v>60</v>
      </c>
      <c r="M27" s="54">
        <v>10</v>
      </c>
      <c r="N27" s="54">
        <f t="shared" si="46"/>
        <v>600</v>
      </c>
      <c r="O27" s="54">
        <f t="shared" si="47"/>
        <v>60000</v>
      </c>
      <c r="P27" s="54">
        <v>16800</v>
      </c>
      <c r="Q27" s="54">
        <f t="shared" si="48"/>
        <v>28.000000000000004</v>
      </c>
      <c r="R27" s="54"/>
      <c r="S27" s="54"/>
      <c r="T27" s="54"/>
      <c r="U27" s="54"/>
    </row>
    <row r="28" spans="1:27" x14ac:dyDescent="0.25">
      <c r="A28" s="54">
        <v>50</v>
      </c>
      <c r="B28" s="54">
        <v>14000</v>
      </c>
      <c r="C28" s="54">
        <v>15000</v>
      </c>
      <c r="D28" s="78" t="s">
        <v>598</v>
      </c>
      <c r="E28" s="54">
        <v>5</v>
      </c>
      <c r="F28" s="54"/>
      <c r="G28" s="54"/>
      <c r="H28" s="3"/>
      <c r="I28" s="3"/>
      <c r="K28" s="54"/>
      <c r="L28" s="54">
        <v>50</v>
      </c>
      <c r="M28" s="54">
        <v>10</v>
      </c>
      <c r="N28" s="54">
        <f t="shared" si="46"/>
        <v>500</v>
      </c>
      <c r="O28" s="54">
        <f t="shared" si="47"/>
        <v>50000</v>
      </c>
      <c r="P28" s="54">
        <v>14000</v>
      </c>
      <c r="Q28" s="54">
        <f t="shared" si="48"/>
        <v>28.000000000000004</v>
      </c>
      <c r="R28" s="54"/>
      <c r="S28" s="54"/>
      <c r="T28" s="54"/>
      <c r="U28" s="54"/>
    </row>
    <row r="29" spans="1:27" x14ac:dyDescent="0.25">
      <c r="A29" s="54">
        <v>45</v>
      </c>
      <c r="B29" s="54">
        <v>12600</v>
      </c>
      <c r="C29" s="54">
        <v>13500</v>
      </c>
      <c r="D29" s="78" t="s">
        <v>814</v>
      </c>
      <c r="E29" s="54">
        <v>6</v>
      </c>
      <c r="F29" s="54"/>
      <c r="G29" s="54"/>
      <c r="H29" s="3"/>
      <c r="I29" s="167"/>
      <c r="K29" s="54"/>
      <c r="L29" s="54">
        <v>45</v>
      </c>
      <c r="M29" s="54">
        <v>10</v>
      </c>
      <c r="N29" s="54">
        <f t="shared" si="46"/>
        <v>450</v>
      </c>
      <c r="O29" s="54">
        <f t="shared" si="47"/>
        <v>45000</v>
      </c>
      <c r="P29" s="54">
        <v>12600</v>
      </c>
      <c r="Q29" s="54">
        <f t="shared" si="48"/>
        <v>28.000000000000004</v>
      </c>
      <c r="R29" s="54"/>
      <c r="S29" s="54"/>
      <c r="T29" s="54"/>
      <c r="U29" s="54"/>
    </row>
    <row r="30" spans="1:27" x14ac:dyDescent="0.25">
      <c r="A30" s="54">
        <v>40</v>
      </c>
      <c r="B30" s="54">
        <v>11200</v>
      </c>
      <c r="C30" s="54">
        <v>12000</v>
      </c>
      <c r="D30" s="76" t="s">
        <v>818</v>
      </c>
      <c r="E30" s="54">
        <v>7</v>
      </c>
      <c r="F30" s="54"/>
      <c r="G30" s="54"/>
      <c r="H30" s="3"/>
      <c r="I30" s="3"/>
      <c r="K30" s="54"/>
      <c r="L30" s="54">
        <v>40</v>
      </c>
      <c r="M30" s="54">
        <v>10</v>
      </c>
      <c r="N30" s="54">
        <f t="shared" si="46"/>
        <v>400</v>
      </c>
      <c r="O30" s="54">
        <f t="shared" si="47"/>
        <v>40000</v>
      </c>
      <c r="P30" s="54">
        <v>11200</v>
      </c>
      <c r="Q30" s="54">
        <f t="shared" si="48"/>
        <v>28.000000000000004</v>
      </c>
      <c r="R30" s="54"/>
      <c r="S30" s="54"/>
      <c r="T30" s="54"/>
      <c r="U30" s="54"/>
    </row>
    <row r="31" spans="1:27" x14ac:dyDescent="0.25">
      <c r="A31" s="157">
        <v>30</v>
      </c>
      <c r="B31" s="54">
        <v>8400</v>
      </c>
      <c r="C31" s="54">
        <v>9000</v>
      </c>
      <c r="E31" s="54">
        <v>8</v>
      </c>
      <c r="F31" s="54"/>
      <c r="G31" s="54"/>
      <c r="K31" s="54"/>
      <c r="L31" s="157">
        <v>30</v>
      </c>
      <c r="M31" s="54">
        <v>10</v>
      </c>
      <c r="N31" s="54">
        <f t="shared" si="46"/>
        <v>300</v>
      </c>
      <c r="O31" s="54">
        <f t="shared" si="47"/>
        <v>30000</v>
      </c>
      <c r="P31" s="54">
        <v>8400</v>
      </c>
      <c r="Q31" s="54">
        <f t="shared" si="48"/>
        <v>28.000000000000004</v>
      </c>
      <c r="R31" s="54"/>
      <c r="S31" s="54"/>
      <c r="T31" s="54"/>
      <c r="U31" s="54"/>
    </row>
    <row r="32" spans="1:27" x14ac:dyDescent="0.25">
      <c r="A32" s="54">
        <v>22.5</v>
      </c>
      <c r="B32" s="54">
        <v>6100</v>
      </c>
      <c r="C32" s="54">
        <v>6800</v>
      </c>
      <c r="E32" s="54">
        <v>9</v>
      </c>
      <c r="F32" s="54"/>
      <c r="G32" s="54"/>
      <c r="K32" s="54"/>
      <c r="L32" s="54">
        <v>22.5</v>
      </c>
      <c r="M32" s="54">
        <v>10</v>
      </c>
      <c r="N32" s="54">
        <f t="shared" si="46"/>
        <v>225</v>
      </c>
      <c r="O32" s="54">
        <f t="shared" si="47"/>
        <v>22500</v>
      </c>
      <c r="P32" s="54">
        <v>6100</v>
      </c>
      <c r="Q32" s="1317">
        <f t="shared" si="48"/>
        <v>27.111111111111114</v>
      </c>
      <c r="R32" s="54"/>
      <c r="S32" s="54"/>
      <c r="T32" s="54"/>
      <c r="U32" s="54"/>
    </row>
    <row r="33" spans="1:28" x14ac:dyDescent="0.25">
      <c r="A33" s="54">
        <v>20</v>
      </c>
      <c r="B33" s="54">
        <v>5600</v>
      </c>
      <c r="C33" s="54">
        <v>6000</v>
      </c>
      <c r="E33" s="54">
        <v>10</v>
      </c>
      <c r="F33" s="54"/>
      <c r="G33" s="54"/>
      <c r="K33" s="54"/>
      <c r="L33" s="54">
        <v>20</v>
      </c>
      <c r="M33" s="54">
        <v>10</v>
      </c>
      <c r="N33" s="54">
        <f t="shared" si="46"/>
        <v>200</v>
      </c>
      <c r="O33" s="54">
        <f t="shared" si="47"/>
        <v>20000</v>
      </c>
      <c r="P33" s="54">
        <v>5600</v>
      </c>
      <c r="Q33" s="54">
        <f t="shared" si="48"/>
        <v>28.000000000000004</v>
      </c>
      <c r="R33" s="54"/>
      <c r="S33" s="54"/>
      <c r="T33" s="54"/>
      <c r="U33" s="54"/>
    </row>
    <row r="34" spans="1:28" x14ac:dyDescent="0.25">
      <c r="A34" s="54">
        <v>15</v>
      </c>
      <c r="B34" s="54">
        <v>4200</v>
      </c>
      <c r="C34" s="54">
        <v>4500</v>
      </c>
      <c r="E34" s="54"/>
      <c r="F34" s="54"/>
      <c r="G34" s="54"/>
      <c r="K34" s="54"/>
      <c r="L34" s="54">
        <v>15</v>
      </c>
      <c r="M34" s="54">
        <v>10</v>
      </c>
      <c r="N34" s="54">
        <f t="shared" si="46"/>
        <v>150</v>
      </c>
      <c r="O34" s="54">
        <f t="shared" si="47"/>
        <v>15000</v>
      </c>
      <c r="P34" s="54">
        <v>4200</v>
      </c>
      <c r="Q34" s="54">
        <f t="shared" si="48"/>
        <v>28.000000000000004</v>
      </c>
      <c r="R34" s="54"/>
      <c r="S34" s="54"/>
      <c r="T34" s="54"/>
      <c r="U34" s="54"/>
    </row>
    <row r="35" spans="1:28" x14ac:dyDescent="0.25">
      <c r="A35" s="54">
        <v>10</v>
      </c>
      <c r="B35" s="54">
        <v>2800</v>
      </c>
      <c r="C35" s="54">
        <v>3000</v>
      </c>
      <c r="L35" s="54">
        <v>10</v>
      </c>
      <c r="M35" s="54">
        <v>10</v>
      </c>
      <c r="N35" s="54">
        <f t="shared" si="46"/>
        <v>100</v>
      </c>
      <c r="O35" s="54">
        <f t="shared" si="47"/>
        <v>10000</v>
      </c>
      <c r="P35" s="54">
        <v>2800</v>
      </c>
      <c r="Q35" s="54">
        <f t="shared" si="48"/>
        <v>28.000000000000004</v>
      </c>
      <c r="R35" s="54"/>
      <c r="S35" s="54"/>
      <c r="T35" s="54"/>
    </row>
    <row r="36" spans="1:28" x14ac:dyDescent="0.25">
      <c r="A36" s="54">
        <v>5</v>
      </c>
      <c r="B36" s="54">
        <v>1400</v>
      </c>
      <c r="C36" s="54">
        <v>1500</v>
      </c>
      <c r="L36" s="54">
        <v>5</v>
      </c>
      <c r="M36" s="54">
        <v>10</v>
      </c>
      <c r="N36" s="54">
        <f t="shared" si="46"/>
        <v>50</v>
      </c>
      <c r="O36" s="54">
        <f t="shared" si="47"/>
        <v>5000</v>
      </c>
      <c r="P36" s="54">
        <v>1400</v>
      </c>
      <c r="Q36" s="54">
        <f t="shared" si="48"/>
        <v>28.000000000000004</v>
      </c>
      <c r="R36" s="54"/>
      <c r="S36" s="54"/>
      <c r="T36" s="54"/>
    </row>
    <row r="37" spans="1:28" x14ac:dyDescent="0.25">
      <c r="A37" s="157" t="s">
        <v>624</v>
      </c>
      <c r="B37" s="157" t="s">
        <v>624</v>
      </c>
      <c r="C37" s="157" t="s">
        <v>624</v>
      </c>
      <c r="P37" s="157"/>
    </row>
    <row r="39" spans="1:28" x14ac:dyDescent="0.25">
      <c r="B39"/>
    </row>
    <row r="40" spans="1:28" x14ac:dyDescent="0.25">
      <c r="A40" s="1634" t="s">
        <v>1507</v>
      </c>
      <c r="B40" s="1634"/>
      <c r="C40" s="1634"/>
      <c r="D40" s="1634"/>
      <c r="E40" s="1634"/>
      <c r="F40" s="1634"/>
      <c r="G40" s="1634"/>
      <c r="H40" s="1634"/>
      <c r="I40" s="1634"/>
      <c r="J40" s="1634"/>
      <c r="K40" s="1634"/>
      <c r="L40" s="1634"/>
      <c r="M40" s="1634"/>
      <c r="N40" s="1634"/>
      <c r="O40" s="1634"/>
      <c r="P40" s="1634"/>
      <c r="Q40" s="1634"/>
      <c r="R40" s="1634"/>
      <c r="S40" s="1634"/>
      <c r="T40" s="1634"/>
      <c r="U40" s="1634"/>
      <c r="V40" s="1634"/>
      <c r="W40" s="1634"/>
    </row>
    <row r="41" spans="1:28" x14ac:dyDescent="0.25">
      <c r="A41" s="54">
        <v>1</v>
      </c>
      <c r="B41" s="54">
        <v>2</v>
      </c>
      <c r="C41" s="54">
        <v>3</v>
      </c>
      <c r="D41" s="54">
        <v>4</v>
      </c>
      <c r="E41" s="54">
        <v>5</v>
      </c>
      <c r="F41" s="54">
        <v>6</v>
      </c>
      <c r="G41" s="54">
        <v>7</v>
      </c>
      <c r="H41" s="54">
        <v>8</v>
      </c>
      <c r="I41" s="54">
        <v>9</v>
      </c>
      <c r="J41" s="54">
        <v>10</v>
      </c>
      <c r="K41" s="54">
        <v>11</v>
      </c>
      <c r="L41" s="54">
        <v>12</v>
      </c>
      <c r="M41" s="54">
        <v>13</v>
      </c>
      <c r="N41" s="54">
        <v>14</v>
      </c>
      <c r="O41" s="54">
        <v>15</v>
      </c>
      <c r="P41" s="54">
        <v>16</v>
      </c>
      <c r="Q41" s="54">
        <v>17</v>
      </c>
      <c r="R41" s="54">
        <v>18</v>
      </c>
      <c r="S41" s="54">
        <v>19</v>
      </c>
      <c r="T41" s="54">
        <v>20</v>
      </c>
      <c r="U41" s="54">
        <v>21</v>
      </c>
      <c r="V41" s="54">
        <v>22</v>
      </c>
      <c r="W41" s="54">
        <v>23</v>
      </c>
      <c r="X41" s="54">
        <v>24</v>
      </c>
      <c r="Y41" s="54">
        <v>25</v>
      </c>
      <c r="Z41" s="54">
        <v>26</v>
      </c>
      <c r="AA41" s="54">
        <v>27</v>
      </c>
      <c r="AB41" s="54">
        <v>28</v>
      </c>
    </row>
    <row r="42" spans="1:28" x14ac:dyDescent="0.25">
      <c r="A42" s="156"/>
      <c r="B42" s="156"/>
      <c r="C42" s="156"/>
      <c r="D42" s="2075" t="s">
        <v>1483</v>
      </c>
      <c r="E42" s="2075"/>
      <c r="F42" s="2075"/>
      <c r="G42" s="2075"/>
      <c r="H42" s="2075"/>
      <c r="I42" s="2075" t="s">
        <v>1484</v>
      </c>
      <c r="J42" s="2075"/>
      <c r="K42" s="2075"/>
      <c r="L42" s="2075"/>
      <c r="M42" s="2075"/>
      <c r="N42" s="2075" t="s">
        <v>1485</v>
      </c>
      <c r="O42" s="2075"/>
      <c r="P42" s="2075"/>
      <c r="Q42" s="2075"/>
      <c r="R42" s="2075"/>
      <c r="S42" s="2075" t="s">
        <v>1508</v>
      </c>
      <c r="T42" s="2075"/>
      <c r="U42" s="2075"/>
      <c r="V42" s="2075"/>
      <c r="W42" s="2075"/>
      <c r="X42" s="76" t="s">
        <v>630</v>
      </c>
      <c r="Y42" s="76" t="s">
        <v>637</v>
      </c>
      <c r="Z42" s="76" t="s">
        <v>643</v>
      </c>
      <c r="AA42" s="76" t="s">
        <v>648</v>
      </c>
      <c r="AB42" s="156"/>
    </row>
    <row r="43" spans="1:28" ht="13.35" customHeight="1" x14ac:dyDescent="0.25">
      <c r="A43" s="2077" t="s">
        <v>1487</v>
      </c>
      <c r="B43" s="1636" t="s">
        <v>798</v>
      </c>
      <c r="C43" s="1636" t="s">
        <v>1488</v>
      </c>
      <c r="D43" s="2074" t="s">
        <v>1509</v>
      </c>
      <c r="E43" s="2074"/>
      <c r="F43" s="165" t="s">
        <v>1510</v>
      </c>
      <c r="G43" s="2074" t="s">
        <v>1491</v>
      </c>
      <c r="H43" s="2074"/>
      <c r="I43" s="2074" t="s">
        <v>1509</v>
      </c>
      <c r="J43" s="2074"/>
      <c r="K43" s="165" t="s">
        <v>1510</v>
      </c>
      <c r="L43" s="2074" t="s">
        <v>1491</v>
      </c>
      <c r="M43" s="2074"/>
      <c r="N43" s="2074" t="s">
        <v>1509</v>
      </c>
      <c r="O43" s="2074"/>
      <c r="P43" s="165" t="s">
        <v>1510</v>
      </c>
      <c r="Q43" s="2074" t="s">
        <v>1491</v>
      </c>
      <c r="R43" s="2074"/>
      <c r="S43" s="2074" t="s">
        <v>1509</v>
      </c>
      <c r="T43" s="2074"/>
      <c r="U43" s="165" t="s">
        <v>1510</v>
      </c>
      <c r="V43" s="2074" t="s">
        <v>1491</v>
      </c>
      <c r="W43" s="2074"/>
      <c r="X43" s="165" t="s">
        <v>1511</v>
      </c>
      <c r="Y43" s="165" t="s">
        <v>1511</v>
      </c>
      <c r="Z43" s="165" t="s">
        <v>1511</v>
      </c>
      <c r="AA43" s="165" t="s">
        <v>1511</v>
      </c>
      <c r="AB43" s="1636" t="s">
        <v>798</v>
      </c>
    </row>
    <row r="44" spans="1:28" x14ac:dyDescent="0.25">
      <c r="A44" s="2077"/>
      <c r="B44" s="1636"/>
      <c r="C44" s="1636"/>
      <c r="D44" s="1636" t="s">
        <v>798</v>
      </c>
      <c r="E44" s="1636" t="s">
        <v>1493</v>
      </c>
      <c r="F44" s="2073" t="s">
        <v>947</v>
      </c>
      <c r="G44" s="1636" t="s">
        <v>947</v>
      </c>
      <c r="H44" s="1636" t="s">
        <v>1494</v>
      </c>
      <c r="I44" s="1636" t="s">
        <v>798</v>
      </c>
      <c r="J44" s="1636" t="s">
        <v>1493</v>
      </c>
      <c r="K44" s="2073" t="s">
        <v>947</v>
      </c>
      <c r="L44" s="1636" t="s">
        <v>947</v>
      </c>
      <c r="M44" s="1636" t="s">
        <v>1494</v>
      </c>
      <c r="N44" s="1636" t="s">
        <v>798</v>
      </c>
      <c r="O44" s="1636" t="s">
        <v>1493</v>
      </c>
      <c r="P44" s="2073" t="s">
        <v>947</v>
      </c>
      <c r="Q44" s="1636" t="s">
        <v>947</v>
      </c>
      <c r="R44" s="1636" t="s">
        <v>1494</v>
      </c>
      <c r="S44" s="1636" t="s">
        <v>798</v>
      </c>
      <c r="T44" s="1636" t="s">
        <v>1493</v>
      </c>
      <c r="U44" s="2073" t="s">
        <v>947</v>
      </c>
      <c r="V44" s="1636" t="s">
        <v>947</v>
      </c>
      <c r="W44" s="1636" t="s">
        <v>1494</v>
      </c>
      <c r="X44" s="2073" t="s">
        <v>947</v>
      </c>
      <c r="Y44" s="2073" t="s">
        <v>947</v>
      </c>
      <c r="Z44" s="2073" t="s">
        <v>947</v>
      </c>
      <c r="AA44" s="2073" t="s">
        <v>947</v>
      </c>
      <c r="AB44" s="1636"/>
    </row>
    <row r="45" spans="1:28" ht="13.8" thickBot="1" x14ac:dyDescent="0.3">
      <c r="A45" s="2077"/>
      <c r="B45" s="1636"/>
      <c r="C45" s="1636"/>
      <c r="D45" s="1636"/>
      <c r="E45" s="1636"/>
      <c r="F45" s="2076"/>
      <c r="G45" s="1636"/>
      <c r="H45" s="1636"/>
      <c r="I45" s="1636"/>
      <c r="J45" s="1636"/>
      <c r="K45" s="2076"/>
      <c r="L45" s="1636"/>
      <c r="M45" s="1636"/>
      <c r="N45" s="1636"/>
      <c r="O45" s="1636"/>
      <c r="P45" s="2076"/>
      <c r="Q45" s="1636"/>
      <c r="R45" s="1636"/>
      <c r="S45" s="1636"/>
      <c r="T45" s="1636"/>
      <c r="U45" s="2076"/>
      <c r="V45" s="1636"/>
      <c r="W45" s="1636"/>
      <c r="X45" s="2073"/>
      <c r="Y45" s="2073"/>
      <c r="Z45" s="2073"/>
      <c r="AA45" s="2073"/>
      <c r="AB45" s="1636"/>
    </row>
    <row r="46" spans="1:28" x14ac:dyDescent="0.25">
      <c r="A46" s="156">
        <v>1</v>
      </c>
      <c r="B46" s="156">
        <v>16</v>
      </c>
      <c r="C46" s="76" t="s">
        <v>1512</v>
      </c>
      <c r="D46" s="191">
        <f>+G60</f>
        <v>15.798799999999998</v>
      </c>
      <c r="E46" s="192">
        <f>+F60</f>
        <v>0.622</v>
      </c>
      <c r="F46" s="193">
        <f>+G46*0.4</f>
        <v>78.414806537262507</v>
      </c>
      <c r="G46" s="189">
        <f>+(D46/2)^2*PI()</f>
        <v>196.03701634315627</v>
      </c>
      <c r="H46" s="194">
        <f>+G46/25.4</f>
        <v>7.7179927694156012</v>
      </c>
      <c r="I46" s="191">
        <f>+L60</f>
        <v>16.052799999999998</v>
      </c>
      <c r="J46" s="192">
        <f>+K60</f>
        <v>0.63200000000000001</v>
      </c>
      <c r="K46" s="193">
        <f>+L46*0.4</f>
        <v>80.956451252415548</v>
      </c>
      <c r="L46" s="189">
        <f>+(I46/2)^2*PI()</f>
        <v>202.39112813103887</v>
      </c>
      <c r="M46" s="194">
        <v>0.34200000000000003</v>
      </c>
      <c r="N46" s="191">
        <f>+Q60</f>
        <v>16.052799999999998</v>
      </c>
      <c r="O46" s="192">
        <f>+P60</f>
        <v>0.63200000000000001</v>
      </c>
      <c r="P46" s="193">
        <f>+Q46*0.4</f>
        <v>80.956451252415548</v>
      </c>
      <c r="Q46" s="189">
        <f>+(N46/2)^2*PI()</f>
        <v>202.39112813103887</v>
      </c>
      <c r="R46" s="194">
        <v>0.314</v>
      </c>
      <c r="S46" s="194">
        <f>+U60</f>
        <v>0</v>
      </c>
      <c r="T46" s="192">
        <v>0.52600000000000002</v>
      </c>
      <c r="U46" s="193">
        <f>+V46*0.4</f>
        <v>0</v>
      </c>
      <c r="V46" s="189">
        <f>+(S46/2)^2*PI()</f>
        <v>0</v>
      </c>
      <c r="W46" s="194">
        <v>0.217</v>
      </c>
      <c r="X46" s="228">
        <f>+G46*0.5</f>
        <v>98.018508171578134</v>
      </c>
      <c r="Y46" s="228">
        <f>+L46*0.5</f>
        <v>101.19556406551943</v>
      </c>
      <c r="Z46" s="255">
        <f>+Q46*0.5</f>
        <v>101.19556406551943</v>
      </c>
      <c r="AA46" s="228">
        <f>+V46*0.5</f>
        <v>0</v>
      </c>
      <c r="AB46" s="156">
        <v>16</v>
      </c>
    </row>
    <row r="47" spans="1:28" x14ac:dyDescent="0.25">
      <c r="A47" s="156">
        <v>2</v>
      </c>
      <c r="B47" s="156">
        <v>21</v>
      </c>
      <c r="C47" s="76" t="s">
        <v>1513</v>
      </c>
      <c r="D47" s="191">
        <f t="shared" ref="D47:D55" si="49">+G61</f>
        <v>20.929600000000001</v>
      </c>
      <c r="E47" s="192">
        <f t="shared" ref="E47:E55" si="50">+F61</f>
        <v>0.82400000000000007</v>
      </c>
      <c r="F47" s="190">
        <f t="shared" ref="F47:F55" si="51">+G47*0.4</f>
        <v>137.61688693108107</v>
      </c>
      <c r="G47" s="189">
        <f t="shared" ref="G47:G55" si="52">+(D47/2)^2*PI()</f>
        <v>344.04221732770264</v>
      </c>
      <c r="H47" s="194">
        <f t="shared" ref="H47:H55" si="53">+G47/25.4</f>
        <v>13.544969186130027</v>
      </c>
      <c r="I47" s="191">
        <f t="shared" ref="I47:I55" si="54">+L61</f>
        <v>21.691600000000001</v>
      </c>
      <c r="J47" s="192">
        <f t="shared" ref="J47:J55" si="55">+K61</f>
        <v>0.85400000000000009</v>
      </c>
      <c r="K47" s="190">
        <f t="shared" ref="K47:K57" si="56">+L47*0.4</f>
        <v>147.81994873018829</v>
      </c>
      <c r="L47" s="189">
        <f t="shared" ref="L47:L55" si="57">+(I47/2)^2*PI()</f>
        <v>369.54987182547069</v>
      </c>
      <c r="M47" s="194">
        <v>0.58599999999999997</v>
      </c>
      <c r="N47" s="191">
        <f t="shared" ref="N47:N56" si="58">+Q61</f>
        <v>21.234400000000001</v>
      </c>
      <c r="O47" s="192">
        <f t="shared" ref="O47:O56" si="59">+P61</f>
        <v>0.83600000000000008</v>
      </c>
      <c r="P47" s="190">
        <f t="shared" ref="P47:P56" si="60">+Q47*0.4</f>
        <v>141.65433212452993</v>
      </c>
      <c r="Q47" s="189">
        <f t="shared" ref="Q47:Q56" si="61">+(N47/2)^2*PI()</f>
        <v>354.13583031132481</v>
      </c>
      <c r="R47" s="194">
        <v>0.54900000000000004</v>
      </c>
      <c r="S47" s="194">
        <f t="shared" ref="S47:S57" si="62">+U61</f>
        <v>0</v>
      </c>
      <c r="T47" s="192">
        <v>0.72199999999999998</v>
      </c>
      <c r="U47" s="190">
        <f t="shared" ref="U47:U57" si="63">+V47*0.4</f>
        <v>0</v>
      </c>
      <c r="V47" s="189">
        <f t="shared" ref="V47:V57" si="64">+(S47/2)^2*PI()</f>
        <v>0</v>
      </c>
      <c r="W47" s="194">
        <v>0.40899999999999997</v>
      </c>
      <c r="X47" s="228">
        <f t="shared" ref="X47:X57" si="65">+G47*0.5</f>
        <v>172.02110866385132</v>
      </c>
      <c r="Y47" s="228">
        <f t="shared" ref="Y47:Y57" si="66">+L47*0.5</f>
        <v>184.77493591273534</v>
      </c>
      <c r="Z47" s="255">
        <f t="shared" ref="Z47:Z57" si="67">+Q47*0.5</f>
        <v>177.0679151556624</v>
      </c>
      <c r="AA47" s="228">
        <f t="shared" ref="AA47:AA57" si="68">+V47*0.5</f>
        <v>0</v>
      </c>
      <c r="AB47" s="156">
        <v>21</v>
      </c>
    </row>
    <row r="48" spans="1:28" x14ac:dyDescent="0.25">
      <c r="A48" s="156">
        <v>3</v>
      </c>
      <c r="B48" s="156">
        <v>27</v>
      </c>
      <c r="C48" s="76" t="s">
        <v>1514</v>
      </c>
      <c r="D48" s="191">
        <f t="shared" si="49"/>
        <v>26.644599999999997</v>
      </c>
      <c r="E48" s="192">
        <f t="shared" si="50"/>
        <v>1.0489999999999999</v>
      </c>
      <c r="F48" s="190">
        <f t="shared" si="51"/>
        <v>223.03256668254619</v>
      </c>
      <c r="G48" s="189">
        <f t="shared" si="52"/>
        <v>557.58141670636542</v>
      </c>
      <c r="H48" s="194">
        <f t="shared" si="53"/>
        <v>21.952024279778168</v>
      </c>
      <c r="I48" s="191">
        <f t="shared" si="54"/>
        <v>27.812999999999999</v>
      </c>
      <c r="J48" s="192">
        <f t="shared" si="55"/>
        <v>1.095</v>
      </c>
      <c r="K48" s="190">
        <f t="shared" si="56"/>
        <v>243.02197404995087</v>
      </c>
      <c r="L48" s="189">
        <f t="shared" si="57"/>
        <v>607.55493512487715</v>
      </c>
      <c r="M48" s="194">
        <v>0.95899999999999996</v>
      </c>
      <c r="N48" s="191">
        <f t="shared" si="58"/>
        <v>27.000199999999996</v>
      </c>
      <c r="O48" s="192">
        <f t="shared" si="59"/>
        <v>1.0629999999999999</v>
      </c>
      <c r="P48" s="190">
        <f t="shared" si="60"/>
        <v>229.0254973793281</v>
      </c>
      <c r="Q48" s="189">
        <f t="shared" si="61"/>
        <v>572.56374344832022</v>
      </c>
      <c r="R48" s="194">
        <v>0.88700000000000001</v>
      </c>
      <c r="S48" s="194">
        <f>+U62</f>
        <v>24.48</v>
      </c>
      <c r="T48" s="192">
        <v>0.93600000000000005</v>
      </c>
      <c r="U48" s="190">
        <f t="shared" si="63"/>
        <v>188.2663486153817</v>
      </c>
      <c r="V48" s="189">
        <f t="shared" si="64"/>
        <v>470.66587153845421</v>
      </c>
      <c r="W48" s="194">
        <v>0.68799999999999994</v>
      </c>
      <c r="X48" s="228">
        <f t="shared" si="65"/>
        <v>278.79070835318271</v>
      </c>
      <c r="Y48" s="228">
        <f t="shared" si="66"/>
        <v>303.77746756243857</v>
      </c>
      <c r="Z48" s="255">
        <f t="shared" si="67"/>
        <v>286.28187172416011</v>
      </c>
      <c r="AA48" s="228">
        <f t="shared" si="68"/>
        <v>235.33293576922711</v>
      </c>
      <c r="AB48" s="156">
        <v>27</v>
      </c>
    </row>
    <row r="49" spans="1:28" x14ac:dyDescent="0.25">
      <c r="A49" s="156">
        <v>4</v>
      </c>
      <c r="B49" s="156">
        <v>35</v>
      </c>
      <c r="C49" s="76" t="s">
        <v>1515</v>
      </c>
      <c r="D49" s="191">
        <f t="shared" si="49"/>
        <v>35.051999999999992</v>
      </c>
      <c r="E49" s="192">
        <f t="shared" si="50"/>
        <v>1.38</v>
      </c>
      <c r="F49" s="190">
        <f t="shared" si="51"/>
        <v>385.9894892773097</v>
      </c>
      <c r="G49" s="189">
        <f t="shared" si="52"/>
        <v>964.97372319327417</v>
      </c>
      <c r="H49" s="194">
        <f t="shared" si="53"/>
        <v>37.991091464302137</v>
      </c>
      <c r="I49" s="191">
        <f t="shared" si="54"/>
        <v>36.448999999999998</v>
      </c>
      <c r="J49" s="192">
        <f t="shared" si="55"/>
        <v>1.4350000000000001</v>
      </c>
      <c r="K49" s="190">
        <f t="shared" si="56"/>
        <v>417.36988345781793</v>
      </c>
      <c r="L49" s="189">
        <f t="shared" si="57"/>
        <v>1043.4247086445448</v>
      </c>
      <c r="M49" s="194">
        <v>1.647</v>
      </c>
      <c r="N49" s="191">
        <f t="shared" si="58"/>
        <v>35.407599999999995</v>
      </c>
      <c r="O49" s="192">
        <f t="shared" si="59"/>
        <v>1.3939999999999999</v>
      </c>
      <c r="P49" s="190">
        <f t="shared" si="60"/>
        <v>393.86088594060192</v>
      </c>
      <c r="Q49" s="189">
        <f t="shared" si="61"/>
        <v>984.65221485150471</v>
      </c>
      <c r="R49" s="194">
        <v>1.526</v>
      </c>
      <c r="S49" s="194">
        <f t="shared" si="62"/>
        <v>0</v>
      </c>
      <c r="T49" s="192">
        <v>1.2549999999999999</v>
      </c>
      <c r="U49" s="190">
        <f t="shared" si="63"/>
        <v>0</v>
      </c>
      <c r="V49" s="189">
        <f t="shared" si="64"/>
        <v>0</v>
      </c>
      <c r="W49" s="194">
        <v>1.2370000000000001</v>
      </c>
      <c r="X49" s="228">
        <f t="shared" si="65"/>
        <v>482.48686159663708</v>
      </c>
      <c r="Y49" s="228">
        <f t="shared" si="66"/>
        <v>521.7123543222724</v>
      </c>
      <c r="Z49" s="255">
        <f t="shared" si="67"/>
        <v>492.32610742575235</v>
      </c>
      <c r="AA49" s="228">
        <f t="shared" si="68"/>
        <v>0</v>
      </c>
      <c r="AB49" s="156">
        <v>35</v>
      </c>
    </row>
    <row r="50" spans="1:28" x14ac:dyDescent="0.25">
      <c r="A50" s="156">
        <v>5</v>
      </c>
      <c r="B50" s="156">
        <v>41</v>
      </c>
      <c r="C50" s="76" t="s">
        <v>1516</v>
      </c>
      <c r="D50" s="191">
        <f t="shared" si="49"/>
        <v>40.893999999999991</v>
      </c>
      <c r="E50" s="192">
        <f t="shared" si="50"/>
        <v>1.6099999999999999</v>
      </c>
      <c r="F50" s="190">
        <f t="shared" si="51"/>
        <v>525.37458262744929</v>
      </c>
      <c r="G50" s="189">
        <f t="shared" si="52"/>
        <v>1313.4364565686233</v>
      </c>
      <c r="H50" s="194">
        <f t="shared" si="53"/>
        <v>51.710096715300132</v>
      </c>
      <c r="I50" s="191">
        <f t="shared" si="54"/>
        <v>42.417999999999999</v>
      </c>
      <c r="J50" s="192">
        <f t="shared" si="55"/>
        <v>1.67</v>
      </c>
      <c r="K50" s="190">
        <f t="shared" si="56"/>
        <v>565.26259538200463</v>
      </c>
      <c r="L50" s="189">
        <f t="shared" si="57"/>
        <v>1413.1564884550114</v>
      </c>
      <c r="M50" s="194">
        <v>2.2250000000000001</v>
      </c>
      <c r="N50" s="191">
        <f t="shared" si="58"/>
        <v>41.249599999999994</v>
      </c>
      <c r="O50" s="192">
        <f t="shared" si="59"/>
        <v>1.6239999999999999</v>
      </c>
      <c r="P50" s="190">
        <f t="shared" si="60"/>
        <v>534.5512577568968</v>
      </c>
      <c r="Q50" s="189">
        <f t="shared" si="61"/>
        <v>1336.3781443922419</v>
      </c>
      <c r="R50" s="194">
        <v>2.0710000000000002</v>
      </c>
      <c r="S50" s="194">
        <f t="shared" si="62"/>
        <v>0</v>
      </c>
      <c r="T50" s="192">
        <v>1.476</v>
      </c>
      <c r="U50" s="190">
        <f t="shared" si="63"/>
        <v>0</v>
      </c>
      <c r="V50" s="189">
        <f t="shared" si="64"/>
        <v>0</v>
      </c>
      <c r="W50" s="194">
        <v>1.7110000000000001</v>
      </c>
      <c r="X50" s="228">
        <f t="shared" si="65"/>
        <v>656.71822828431164</v>
      </c>
      <c r="Y50" s="228">
        <f t="shared" si="66"/>
        <v>706.57824422750571</v>
      </c>
      <c r="Z50" s="255">
        <f t="shared" si="67"/>
        <v>668.18907219612095</v>
      </c>
      <c r="AA50" s="228">
        <f t="shared" si="68"/>
        <v>0</v>
      </c>
      <c r="AB50" s="156">
        <v>41</v>
      </c>
    </row>
    <row r="51" spans="1:28" s="201" customFormat="1" x14ac:dyDescent="0.25">
      <c r="A51" s="195">
        <v>6</v>
      </c>
      <c r="B51" s="195">
        <v>53</v>
      </c>
      <c r="C51" s="161" t="s">
        <v>1517</v>
      </c>
      <c r="D51" s="196">
        <f t="shared" si="49"/>
        <v>52.501800000000003</v>
      </c>
      <c r="E51" s="197">
        <f t="shared" si="50"/>
        <v>2.0670000000000002</v>
      </c>
      <c r="F51" s="198">
        <f t="shared" si="51"/>
        <v>865.96085226471575</v>
      </c>
      <c r="G51" s="199">
        <f t="shared" si="52"/>
        <v>2164.9021306617892</v>
      </c>
      <c r="H51" s="200">
        <f t="shared" si="53"/>
        <v>85.232367348889341</v>
      </c>
      <c r="I51" s="196">
        <f t="shared" si="54"/>
        <v>54.279799999999994</v>
      </c>
      <c r="J51" s="197">
        <f t="shared" si="55"/>
        <v>2.137</v>
      </c>
      <c r="K51" s="198">
        <f t="shared" si="56"/>
        <v>925.60640304424021</v>
      </c>
      <c r="L51" s="199">
        <f t="shared" si="57"/>
        <v>2314.0160076106004</v>
      </c>
      <c r="M51" s="200">
        <v>3.63</v>
      </c>
      <c r="N51" s="196">
        <f t="shared" si="58"/>
        <v>52.908200000000001</v>
      </c>
      <c r="O51" s="197">
        <f t="shared" si="59"/>
        <v>2.0830000000000002</v>
      </c>
      <c r="P51" s="198">
        <f t="shared" si="60"/>
        <v>879.41900290954516</v>
      </c>
      <c r="Q51" s="199">
        <f t="shared" si="61"/>
        <v>2198.5475072738627</v>
      </c>
      <c r="R51" s="200">
        <v>3.4079999999999999</v>
      </c>
      <c r="S51" s="194">
        <f t="shared" si="62"/>
        <v>56.96</v>
      </c>
      <c r="T51" s="197">
        <v>1.913</v>
      </c>
      <c r="U51" s="198">
        <f t="shared" si="63"/>
        <v>1019.2713895561116</v>
      </c>
      <c r="V51" s="199">
        <f t="shared" si="64"/>
        <v>2548.1784738902788</v>
      </c>
      <c r="W51" s="200">
        <v>2.8740000000000001</v>
      </c>
      <c r="X51" s="228">
        <f t="shared" si="65"/>
        <v>1082.4510653308946</v>
      </c>
      <c r="Y51" s="228">
        <f t="shared" si="66"/>
        <v>1157.0080038053002</v>
      </c>
      <c r="Z51" s="255">
        <f t="shared" si="67"/>
        <v>1099.2737536369314</v>
      </c>
      <c r="AA51" s="228">
        <f t="shared" si="68"/>
        <v>1274.0892369451394</v>
      </c>
      <c r="AB51" s="195">
        <v>53</v>
      </c>
    </row>
    <row r="52" spans="1:28" x14ac:dyDescent="0.25">
      <c r="A52" s="156">
        <v>7</v>
      </c>
      <c r="B52" s="156">
        <v>63</v>
      </c>
      <c r="C52" s="76" t="s">
        <v>1518</v>
      </c>
      <c r="D52" s="191">
        <f t="shared" si="49"/>
        <v>69.367399999999989</v>
      </c>
      <c r="E52" s="192">
        <f t="shared" si="50"/>
        <v>2.7309999999999999</v>
      </c>
      <c r="F52" s="190">
        <f t="shared" si="51"/>
        <v>1511.6829202036365</v>
      </c>
      <c r="G52" s="189">
        <f t="shared" si="52"/>
        <v>3779.2073005090911</v>
      </c>
      <c r="H52" s="194">
        <f t="shared" si="53"/>
        <v>148.78768899642091</v>
      </c>
      <c r="I52" s="191">
        <f t="shared" si="54"/>
        <v>64.693799999999996</v>
      </c>
      <c r="J52" s="192">
        <f t="shared" si="55"/>
        <v>2.5470000000000002</v>
      </c>
      <c r="K52" s="190">
        <f t="shared" si="56"/>
        <v>1314.8469275074394</v>
      </c>
      <c r="L52" s="189">
        <f t="shared" si="57"/>
        <v>3287.1173187685986</v>
      </c>
      <c r="M52" s="194">
        <v>5.1349999999999998</v>
      </c>
      <c r="N52" s="191">
        <f t="shared" si="58"/>
        <v>63.22059999999999</v>
      </c>
      <c r="O52" s="192">
        <f t="shared" si="59"/>
        <v>2.4889999999999999</v>
      </c>
      <c r="P52" s="190">
        <f t="shared" si="60"/>
        <v>1255.6456578455873</v>
      </c>
      <c r="Q52" s="189">
        <f t="shared" si="61"/>
        <v>3139.1141446139682</v>
      </c>
      <c r="R52" s="194">
        <v>4.8659999999999997</v>
      </c>
      <c r="S52" s="194">
        <f t="shared" si="62"/>
        <v>0</v>
      </c>
      <c r="T52" s="192">
        <v>2.29</v>
      </c>
      <c r="U52" s="190">
        <f t="shared" si="63"/>
        <v>0</v>
      </c>
      <c r="V52" s="189">
        <f t="shared" si="64"/>
        <v>0</v>
      </c>
      <c r="W52" s="194">
        <v>4.1189999999999998</v>
      </c>
      <c r="X52" s="228">
        <f t="shared" si="65"/>
        <v>1889.6036502545455</v>
      </c>
      <c r="Y52" s="228">
        <f t="shared" si="66"/>
        <v>1643.5586593842993</v>
      </c>
      <c r="Z52" s="255">
        <f t="shared" si="67"/>
        <v>1569.5570723069841</v>
      </c>
      <c r="AA52" s="228">
        <f t="shared" si="68"/>
        <v>0</v>
      </c>
      <c r="AB52" s="156">
        <v>63</v>
      </c>
    </row>
    <row r="53" spans="1:28" s="201" customFormat="1" x14ac:dyDescent="0.25">
      <c r="A53" s="195">
        <v>8</v>
      </c>
      <c r="B53" s="195">
        <v>78</v>
      </c>
      <c r="C53" s="161" t="s">
        <v>1519</v>
      </c>
      <c r="D53" s="196">
        <f t="shared" si="49"/>
        <v>85.242399999999989</v>
      </c>
      <c r="E53" s="197">
        <f t="shared" si="50"/>
        <v>3.3559999999999999</v>
      </c>
      <c r="F53" s="198">
        <f t="shared" si="51"/>
        <v>2282.7650265202533</v>
      </c>
      <c r="G53" s="199">
        <f t="shared" si="52"/>
        <v>5706.9125663006334</v>
      </c>
      <c r="H53" s="200">
        <f t="shared" si="53"/>
        <v>224.68159709845014</v>
      </c>
      <c r="I53" s="196">
        <f t="shared" si="54"/>
        <v>80.41640000000001</v>
      </c>
      <c r="J53" s="197">
        <f t="shared" si="55"/>
        <v>3.1660000000000004</v>
      </c>
      <c r="K53" s="198">
        <f t="shared" si="56"/>
        <v>2031.6043169410398</v>
      </c>
      <c r="L53" s="199">
        <f t="shared" si="57"/>
        <v>5079.0107923525993</v>
      </c>
      <c r="M53" s="200">
        <v>7.9219999999999997</v>
      </c>
      <c r="N53" s="196">
        <f t="shared" si="58"/>
        <v>78.48599999999999</v>
      </c>
      <c r="O53" s="197">
        <f t="shared" si="59"/>
        <v>3.09</v>
      </c>
      <c r="P53" s="198">
        <f t="shared" si="60"/>
        <v>1935.2374724683268</v>
      </c>
      <c r="Q53" s="199">
        <f t="shared" si="61"/>
        <v>4838.093681170817</v>
      </c>
      <c r="R53" s="200">
        <v>7.4989999999999997</v>
      </c>
      <c r="S53" s="194">
        <f t="shared" si="62"/>
        <v>83.76</v>
      </c>
      <c r="T53" s="197">
        <v>2.8639999999999999</v>
      </c>
      <c r="U53" s="198">
        <f t="shared" si="63"/>
        <v>2204.0589703673691</v>
      </c>
      <c r="V53" s="199">
        <f t="shared" si="64"/>
        <v>5510.1474259184224</v>
      </c>
      <c r="W53" s="200">
        <v>6.4420000000000002</v>
      </c>
      <c r="X53" s="228">
        <f t="shared" si="65"/>
        <v>2853.4562831503167</v>
      </c>
      <c r="Y53" s="228">
        <f t="shared" si="66"/>
        <v>2539.5053961762997</v>
      </c>
      <c r="Z53" s="255">
        <f t="shared" si="67"/>
        <v>2419.0468405854085</v>
      </c>
      <c r="AA53" s="228">
        <f t="shared" si="68"/>
        <v>2755.0737129592112</v>
      </c>
      <c r="AB53" s="195">
        <v>78</v>
      </c>
    </row>
    <row r="54" spans="1:28" x14ac:dyDescent="0.25">
      <c r="A54" s="156">
        <v>9</v>
      </c>
      <c r="B54" s="156">
        <v>91</v>
      </c>
      <c r="C54" s="76" t="s">
        <v>1520</v>
      </c>
      <c r="D54" s="191">
        <f t="shared" si="49"/>
        <v>97.383600000000001</v>
      </c>
      <c r="E54" s="192">
        <f t="shared" si="50"/>
        <v>3.8340000000000001</v>
      </c>
      <c r="F54" s="190">
        <f t="shared" si="51"/>
        <v>2979.3499858449991</v>
      </c>
      <c r="G54" s="189">
        <f t="shared" si="52"/>
        <v>7448.374964612497</v>
      </c>
      <c r="H54" s="194">
        <f t="shared" si="53"/>
        <v>293.24310884301173</v>
      </c>
      <c r="I54" s="191">
        <f t="shared" si="54"/>
        <v>92.989399999999989</v>
      </c>
      <c r="J54" s="192">
        <f t="shared" si="55"/>
        <v>3.661</v>
      </c>
      <c r="K54" s="190">
        <f t="shared" si="56"/>
        <v>2716.5441249811652</v>
      </c>
      <c r="L54" s="189">
        <f t="shared" si="57"/>
        <v>6791.3603124529127</v>
      </c>
      <c r="M54" s="194">
        <v>10.584</v>
      </c>
      <c r="N54" s="191">
        <f t="shared" si="58"/>
        <v>90.677999999999997</v>
      </c>
      <c r="O54" s="192">
        <f t="shared" si="59"/>
        <v>3.57</v>
      </c>
      <c r="P54" s="190">
        <f t="shared" si="60"/>
        <v>2583.17446013988</v>
      </c>
      <c r="Q54" s="189">
        <f t="shared" si="61"/>
        <v>6457.9361503496993</v>
      </c>
      <c r="R54" s="194">
        <v>10.01</v>
      </c>
      <c r="S54" s="194">
        <f t="shared" si="62"/>
        <v>0</v>
      </c>
      <c r="T54" s="192">
        <v>3.3260000000000001</v>
      </c>
      <c r="U54" s="190">
        <f t="shared" si="63"/>
        <v>0</v>
      </c>
      <c r="V54" s="189">
        <f t="shared" si="64"/>
        <v>0</v>
      </c>
      <c r="W54" s="194">
        <v>8.6880000000000006</v>
      </c>
      <c r="X54" s="228">
        <f t="shared" si="65"/>
        <v>3724.1874823062485</v>
      </c>
      <c r="Y54" s="228">
        <f t="shared" si="66"/>
        <v>3395.6801562264563</v>
      </c>
      <c r="Z54" s="255">
        <f t="shared" si="67"/>
        <v>3228.9680751748497</v>
      </c>
      <c r="AA54" s="228">
        <f t="shared" si="68"/>
        <v>0</v>
      </c>
      <c r="AB54" s="156">
        <v>91</v>
      </c>
    </row>
    <row r="55" spans="1:28" s="201" customFormat="1" x14ac:dyDescent="0.25">
      <c r="A55" s="195">
        <v>10</v>
      </c>
      <c r="B55" s="195">
        <v>103</v>
      </c>
      <c r="C55" s="161" t="s">
        <v>1521</v>
      </c>
      <c r="D55" s="196">
        <f t="shared" si="49"/>
        <v>110.08359999999999</v>
      </c>
      <c r="E55" s="197">
        <f t="shared" si="50"/>
        <v>4.3339999999999996</v>
      </c>
      <c r="F55" s="198">
        <f t="shared" si="51"/>
        <v>3807.1073236986704</v>
      </c>
      <c r="G55" s="199">
        <f t="shared" si="52"/>
        <v>9517.7683092466759</v>
      </c>
      <c r="H55" s="200">
        <f t="shared" si="53"/>
        <v>374.71528776561718</v>
      </c>
      <c r="I55" s="196">
        <f t="shared" si="54"/>
        <v>105.56239999999998</v>
      </c>
      <c r="J55" s="197">
        <f t="shared" si="55"/>
        <v>4.1559999999999997</v>
      </c>
      <c r="K55" s="198">
        <f t="shared" si="56"/>
        <v>3500.8087330739822</v>
      </c>
      <c r="L55" s="199">
        <f t="shared" si="57"/>
        <v>8752.0218326849554</v>
      </c>
      <c r="M55" s="200">
        <v>13.631</v>
      </c>
      <c r="N55" s="196">
        <f t="shared" si="58"/>
        <v>102.86999999999999</v>
      </c>
      <c r="O55" s="197">
        <f t="shared" si="59"/>
        <v>4.05</v>
      </c>
      <c r="P55" s="198">
        <f t="shared" si="60"/>
        <v>3324.5077703586826</v>
      </c>
      <c r="Q55" s="199">
        <f t="shared" si="61"/>
        <v>8311.2694258967058</v>
      </c>
      <c r="R55" s="200">
        <v>12.882</v>
      </c>
      <c r="S55" s="194">
        <f t="shared" si="62"/>
        <v>107.34</v>
      </c>
      <c r="T55" s="197">
        <v>3.786</v>
      </c>
      <c r="U55" s="198">
        <f t="shared" si="63"/>
        <v>3619.7039740535497</v>
      </c>
      <c r="V55" s="199">
        <f t="shared" si="64"/>
        <v>9049.259935133874</v>
      </c>
      <c r="W55" s="200">
        <v>11.257999999999999</v>
      </c>
      <c r="X55" s="228">
        <f t="shared" si="65"/>
        <v>4758.884154623338</v>
      </c>
      <c r="Y55" s="228">
        <f t="shared" si="66"/>
        <v>4376.0109163424777</v>
      </c>
      <c r="Z55" s="255">
        <f t="shared" si="67"/>
        <v>4155.6347129483529</v>
      </c>
      <c r="AA55" s="228">
        <f t="shared" si="68"/>
        <v>4524.629967566937</v>
      </c>
      <c r="AB55" s="195">
        <v>103</v>
      </c>
    </row>
    <row r="56" spans="1:28" s="201" customFormat="1" x14ac:dyDescent="0.25">
      <c r="A56" s="195">
        <v>11</v>
      </c>
      <c r="B56" s="195">
        <v>129</v>
      </c>
      <c r="C56" s="161" t="s">
        <v>1522</v>
      </c>
      <c r="D56" s="196"/>
      <c r="E56" s="197"/>
      <c r="F56" s="198"/>
      <c r="G56" s="202"/>
      <c r="H56" s="203"/>
      <c r="I56" s="203"/>
      <c r="J56" s="204"/>
      <c r="K56" s="198">
        <f t="shared" si="56"/>
        <v>0</v>
      </c>
      <c r="L56" s="202"/>
      <c r="M56" s="203"/>
      <c r="N56" s="196">
        <f t="shared" si="58"/>
        <v>154.76219999999998</v>
      </c>
      <c r="O56" s="197">
        <f t="shared" si="59"/>
        <v>6.093</v>
      </c>
      <c r="P56" s="198">
        <f t="shared" si="60"/>
        <v>7524.5349228677751</v>
      </c>
      <c r="Q56" s="199">
        <f t="shared" si="61"/>
        <v>18811.337307169437</v>
      </c>
      <c r="R56" s="200">
        <v>20.212</v>
      </c>
      <c r="S56" s="194">
        <f t="shared" si="62"/>
        <v>159.04</v>
      </c>
      <c r="T56" s="197">
        <v>4.7679999999999998</v>
      </c>
      <c r="U56" s="198">
        <f t="shared" si="63"/>
        <v>7946.2569960505461</v>
      </c>
      <c r="V56" s="199">
        <f t="shared" si="64"/>
        <v>19865.642490126364</v>
      </c>
      <c r="W56" s="200">
        <v>17.855</v>
      </c>
      <c r="X56" s="228">
        <f t="shared" si="65"/>
        <v>0</v>
      </c>
      <c r="Y56" s="228">
        <f t="shared" si="66"/>
        <v>0</v>
      </c>
      <c r="Z56" s="255">
        <f t="shared" si="67"/>
        <v>9405.6686535847184</v>
      </c>
      <c r="AA56" s="228">
        <f t="shared" si="68"/>
        <v>9932.8212450631818</v>
      </c>
      <c r="AB56" s="195">
        <v>129</v>
      </c>
    </row>
    <row r="57" spans="1:28" s="201" customFormat="1" ht="13.8" thickBot="1" x14ac:dyDescent="0.3">
      <c r="A57" s="195">
        <v>12</v>
      </c>
      <c r="B57" s="195">
        <v>155</v>
      </c>
      <c r="C57" s="161" t="s">
        <v>1523</v>
      </c>
      <c r="D57" s="196"/>
      <c r="E57" s="197"/>
      <c r="F57" s="205"/>
      <c r="G57" s="202"/>
      <c r="H57" s="203"/>
      <c r="I57" s="203"/>
      <c r="J57" s="204"/>
      <c r="K57" s="205">
        <f t="shared" si="56"/>
        <v>0</v>
      </c>
      <c r="L57" s="202"/>
      <c r="M57" s="203"/>
      <c r="N57" s="200"/>
      <c r="O57" s="197"/>
      <c r="P57" s="205"/>
      <c r="Q57" s="199"/>
      <c r="R57" s="200">
        <v>29.158000000000001</v>
      </c>
      <c r="S57" s="194">
        <f t="shared" si="62"/>
        <v>0</v>
      </c>
      <c r="T57" s="197">
        <v>0</v>
      </c>
      <c r="U57" s="205">
        <f t="shared" si="63"/>
        <v>0</v>
      </c>
      <c r="V57" s="199">
        <f t="shared" si="64"/>
        <v>0</v>
      </c>
      <c r="W57" s="200">
        <v>0</v>
      </c>
      <c r="X57" s="228">
        <f t="shared" si="65"/>
        <v>0</v>
      </c>
      <c r="Y57" s="228">
        <f t="shared" si="66"/>
        <v>0</v>
      </c>
      <c r="Z57" s="255">
        <f t="shared" si="67"/>
        <v>0</v>
      </c>
      <c r="AA57" s="228">
        <f t="shared" si="68"/>
        <v>0</v>
      </c>
      <c r="AB57" s="195">
        <v>155</v>
      </c>
    </row>
    <row r="58" spans="1:28" x14ac:dyDescent="0.25">
      <c r="D58" s="1634" t="s">
        <v>1524</v>
      </c>
      <c r="E58" s="1634"/>
      <c r="F58" s="1634"/>
      <c r="G58" s="1634"/>
      <c r="I58" s="1634" t="s">
        <v>1525</v>
      </c>
      <c r="J58" s="1634"/>
      <c r="K58" s="1634"/>
      <c r="L58" s="1634"/>
      <c r="N58" s="1634" t="s">
        <v>1526</v>
      </c>
      <c r="O58" s="1634"/>
      <c r="P58" s="1634"/>
      <c r="Q58" s="1634"/>
      <c r="S58" s="1634" t="s">
        <v>1527</v>
      </c>
      <c r="T58" s="1634"/>
      <c r="U58" s="1634"/>
      <c r="V58" s="1634"/>
    </row>
    <row r="59" spans="1:28" x14ac:dyDescent="0.25">
      <c r="D59" s="168" t="s">
        <v>1528</v>
      </c>
      <c r="E59" s="4" t="s">
        <v>1529</v>
      </c>
      <c r="F59" s="4" t="s">
        <v>1530</v>
      </c>
      <c r="G59" s="168" t="s">
        <v>798</v>
      </c>
      <c r="I59" s="168" t="s">
        <v>1528</v>
      </c>
      <c r="J59" s="4" t="s">
        <v>1529</v>
      </c>
      <c r="K59" s="4" t="s">
        <v>1530</v>
      </c>
      <c r="L59" s="168" t="s">
        <v>798</v>
      </c>
      <c r="N59" s="168" t="s">
        <v>1528</v>
      </c>
      <c r="O59" s="4" t="s">
        <v>1529</v>
      </c>
      <c r="P59" s="4" t="s">
        <v>1530</v>
      </c>
      <c r="Q59" s="168" t="s">
        <v>798</v>
      </c>
      <c r="S59" s="168" t="s">
        <v>1531</v>
      </c>
      <c r="T59" s="4" t="s">
        <v>1532</v>
      </c>
      <c r="U59" s="4" t="s">
        <v>1533</v>
      </c>
      <c r="V59" s="168"/>
    </row>
    <row r="60" spans="1:28" x14ac:dyDescent="0.25">
      <c r="C60" s="76" t="s">
        <v>1512</v>
      </c>
      <c r="D60" s="54">
        <v>0.70599999999999996</v>
      </c>
      <c r="E60" s="2">
        <v>4.2000000000000003E-2</v>
      </c>
      <c r="F60" s="2">
        <f>+D60-(E60*2)</f>
        <v>0.622</v>
      </c>
      <c r="G60" s="1">
        <f>+F60*25.4</f>
        <v>15.798799999999998</v>
      </c>
      <c r="I60" s="54">
        <v>0.80200000000000005</v>
      </c>
      <c r="J60" s="2">
        <v>8.5000000000000006E-2</v>
      </c>
      <c r="K60" s="2">
        <f>+I60-(J60*2)</f>
        <v>0.63200000000000001</v>
      </c>
      <c r="L60" s="1">
        <f>+K60*25.4</f>
        <v>16.052799999999998</v>
      </c>
      <c r="N60" s="54">
        <v>0.84</v>
      </c>
      <c r="O60" s="2">
        <v>0.104</v>
      </c>
      <c r="P60" s="2">
        <f>+N60-(O60*2)</f>
        <v>0.63200000000000001</v>
      </c>
      <c r="Q60" s="1">
        <f>+P60*25.4</f>
        <v>16.052799999999998</v>
      </c>
      <c r="S60" s="54"/>
      <c r="T60" s="2"/>
      <c r="U60" s="2">
        <f>+S60-(T60*2)</f>
        <v>0</v>
      </c>
      <c r="V60" s="1"/>
    </row>
    <row r="61" spans="1:28" x14ac:dyDescent="0.25">
      <c r="C61" s="76" t="s">
        <v>1513</v>
      </c>
      <c r="D61" s="54">
        <v>0.92200000000000004</v>
      </c>
      <c r="E61" s="2">
        <v>4.9000000000000002E-2</v>
      </c>
      <c r="F61" s="2">
        <f t="shared" ref="F61:F69" si="69">+D61-(E61*2)</f>
        <v>0.82400000000000007</v>
      </c>
      <c r="G61" s="1">
        <f t="shared" ref="G61:G69" si="70">+F61*25.4</f>
        <v>20.929600000000001</v>
      </c>
      <c r="I61" s="54">
        <v>1.034</v>
      </c>
      <c r="J61" s="2">
        <v>0.09</v>
      </c>
      <c r="K61" s="2">
        <f t="shared" ref="K61:K69" si="71">+I61-(J61*2)</f>
        <v>0.85400000000000009</v>
      </c>
      <c r="L61" s="1">
        <f t="shared" ref="L61:L69" si="72">+K61*25.4</f>
        <v>21.691600000000001</v>
      </c>
      <c r="N61" s="54">
        <v>1.05</v>
      </c>
      <c r="O61" s="2">
        <v>0.107</v>
      </c>
      <c r="P61" s="2">
        <f t="shared" ref="P61:P69" si="73">+N61-(O61*2)</f>
        <v>0.83600000000000008</v>
      </c>
      <c r="Q61" s="1">
        <f t="shared" ref="Q61:Q70" si="74">+P61*25.4</f>
        <v>21.234400000000001</v>
      </c>
      <c r="S61" s="54"/>
      <c r="T61" s="2"/>
      <c r="U61" s="2">
        <f t="shared" ref="U61:U70" si="75">+S61-(T61*2)</f>
        <v>0</v>
      </c>
      <c r="V61" s="1"/>
    </row>
    <row r="62" spans="1:28" x14ac:dyDescent="0.25">
      <c r="C62" s="76" t="s">
        <v>1514</v>
      </c>
      <c r="D62" s="54">
        <v>1.163</v>
      </c>
      <c r="E62" s="2">
        <v>5.7000000000000002E-2</v>
      </c>
      <c r="F62" s="2">
        <f t="shared" si="69"/>
        <v>1.0489999999999999</v>
      </c>
      <c r="G62" s="1">
        <f t="shared" si="70"/>
        <v>26.644599999999997</v>
      </c>
      <c r="I62" s="54">
        <v>1.2949999999999999</v>
      </c>
      <c r="J62" s="2">
        <v>0.1</v>
      </c>
      <c r="K62" s="2">
        <f t="shared" si="71"/>
        <v>1.095</v>
      </c>
      <c r="L62" s="1">
        <f t="shared" si="72"/>
        <v>27.812999999999999</v>
      </c>
      <c r="N62" s="54">
        <v>1.3149999999999999</v>
      </c>
      <c r="O62" s="2">
        <v>0.126</v>
      </c>
      <c r="P62" s="2">
        <f t="shared" si="73"/>
        <v>1.0629999999999999</v>
      </c>
      <c r="Q62" s="1">
        <f t="shared" si="74"/>
        <v>27.000199999999996</v>
      </c>
      <c r="S62" s="54">
        <v>33.4</v>
      </c>
      <c r="T62" s="2">
        <v>1.52</v>
      </c>
      <c r="U62" s="2">
        <v>24.48</v>
      </c>
      <c r="V62" s="1"/>
    </row>
    <row r="63" spans="1:28" x14ac:dyDescent="0.25">
      <c r="C63" s="76" t="s">
        <v>1515</v>
      </c>
      <c r="D63" s="54">
        <v>1.51</v>
      </c>
      <c r="E63" s="2">
        <v>6.5000000000000002E-2</v>
      </c>
      <c r="F63" s="2">
        <f t="shared" si="69"/>
        <v>1.38</v>
      </c>
      <c r="G63" s="1">
        <f t="shared" si="70"/>
        <v>35.051999999999992</v>
      </c>
      <c r="I63" s="54">
        <v>1.645</v>
      </c>
      <c r="J63" s="2">
        <v>0.105</v>
      </c>
      <c r="K63" s="2">
        <f t="shared" si="71"/>
        <v>1.4350000000000001</v>
      </c>
      <c r="L63" s="1">
        <f t="shared" si="72"/>
        <v>36.448999999999998</v>
      </c>
      <c r="N63" s="54">
        <v>1.66</v>
      </c>
      <c r="O63" s="2">
        <v>0.13300000000000001</v>
      </c>
      <c r="P63" s="2">
        <f t="shared" si="73"/>
        <v>1.3939999999999999</v>
      </c>
      <c r="Q63" s="1">
        <f t="shared" si="74"/>
        <v>35.407599999999995</v>
      </c>
      <c r="S63" s="54"/>
      <c r="T63" s="2"/>
      <c r="U63" s="2">
        <f t="shared" si="75"/>
        <v>0</v>
      </c>
      <c r="V63" s="1"/>
    </row>
    <row r="64" spans="1:28" x14ac:dyDescent="0.25">
      <c r="C64" s="76" t="s">
        <v>1516</v>
      </c>
      <c r="D64" s="54">
        <v>1.74</v>
      </c>
      <c r="E64" s="2">
        <v>6.5000000000000002E-2</v>
      </c>
      <c r="F64" s="2">
        <f t="shared" si="69"/>
        <v>1.6099999999999999</v>
      </c>
      <c r="G64" s="1">
        <f t="shared" si="70"/>
        <v>40.893999999999991</v>
      </c>
      <c r="I64" s="54">
        <v>1.89</v>
      </c>
      <c r="J64" s="2">
        <v>0.11</v>
      </c>
      <c r="K64" s="2">
        <f t="shared" si="71"/>
        <v>1.67</v>
      </c>
      <c r="L64" s="1">
        <f t="shared" si="72"/>
        <v>42.417999999999999</v>
      </c>
      <c r="N64" s="54">
        <v>1.9</v>
      </c>
      <c r="O64" s="2">
        <v>0.13800000000000001</v>
      </c>
      <c r="P64" s="2">
        <f t="shared" si="73"/>
        <v>1.6239999999999999</v>
      </c>
      <c r="Q64" s="1">
        <f t="shared" si="74"/>
        <v>41.249599999999994</v>
      </c>
      <c r="S64" s="54"/>
      <c r="T64" s="2"/>
      <c r="U64" s="2">
        <f t="shared" si="75"/>
        <v>0</v>
      </c>
      <c r="V64" s="1"/>
    </row>
    <row r="65" spans="3:22" x14ac:dyDescent="0.25">
      <c r="C65" s="76" t="s">
        <v>1517</v>
      </c>
      <c r="D65" s="54">
        <v>2.1970000000000001</v>
      </c>
      <c r="E65" s="2">
        <v>6.5000000000000002E-2</v>
      </c>
      <c r="F65" s="2">
        <f t="shared" si="69"/>
        <v>2.0670000000000002</v>
      </c>
      <c r="G65" s="1">
        <f t="shared" si="70"/>
        <v>52.501800000000003</v>
      </c>
      <c r="I65" s="54">
        <v>2.367</v>
      </c>
      <c r="J65" s="2">
        <v>0.115</v>
      </c>
      <c r="K65" s="2">
        <f t="shared" si="71"/>
        <v>2.137</v>
      </c>
      <c r="L65" s="1">
        <f t="shared" si="72"/>
        <v>54.279799999999994</v>
      </c>
      <c r="N65" s="54">
        <v>2.375</v>
      </c>
      <c r="O65" s="2">
        <v>0.14599999999999999</v>
      </c>
      <c r="P65" s="2">
        <f t="shared" si="73"/>
        <v>2.0830000000000002</v>
      </c>
      <c r="Q65" s="1">
        <f t="shared" si="74"/>
        <v>52.908200000000001</v>
      </c>
      <c r="S65" s="54">
        <v>60.32</v>
      </c>
      <c r="T65" s="2">
        <v>1.68</v>
      </c>
      <c r="U65" s="2">
        <f>+S65-(T65*2)</f>
        <v>56.96</v>
      </c>
      <c r="V65" s="1"/>
    </row>
    <row r="66" spans="3:22" x14ac:dyDescent="0.25">
      <c r="C66" s="76" t="s">
        <v>1518</v>
      </c>
      <c r="D66" s="54">
        <v>2.875</v>
      </c>
      <c r="E66" s="2">
        <v>7.1999999999999995E-2</v>
      </c>
      <c r="F66" s="2">
        <f t="shared" si="69"/>
        <v>2.7309999999999999</v>
      </c>
      <c r="G66" s="1">
        <f t="shared" si="70"/>
        <v>69.367399999999989</v>
      </c>
      <c r="I66" s="54">
        <v>2.867</v>
      </c>
      <c r="J66" s="2">
        <v>0.16</v>
      </c>
      <c r="K66" s="2">
        <f t="shared" si="71"/>
        <v>2.5470000000000002</v>
      </c>
      <c r="L66" s="1">
        <f t="shared" si="72"/>
        <v>64.693799999999996</v>
      </c>
      <c r="N66" s="54">
        <v>2.875</v>
      </c>
      <c r="O66" s="2">
        <v>0.193</v>
      </c>
      <c r="P66" s="2">
        <f t="shared" si="73"/>
        <v>2.4889999999999999</v>
      </c>
      <c r="Q66" s="1">
        <f t="shared" si="74"/>
        <v>63.22059999999999</v>
      </c>
      <c r="S66" s="54"/>
      <c r="T66" s="2"/>
      <c r="U66" s="2">
        <f t="shared" si="75"/>
        <v>0</v>
      </c>
      <c r="V66" s="1"/>
    </row>
    <row r="67" spans="3:22" x14ac:dyDescent="0.25">
      <c r="C67" s="76" t="s">
        <v>1519</v>
      </c>
      <c r="D67" s="54">
        <v>3.5</v>
      </c>
      <c r="E67" s="2">
        <v>7.1999999999999995E-2</v>
      </c>
      <c r="F67" s="2">
        <f t="shared" si="69"/>
        <v>3.3559999999999999</v>
      </c>
      <c r="G67" s="1">
        <f t="shared" si="70"/>
        <v>85.242399999999989</v>
      </c>
      <c r="I67" s="54">
        <v>3.4860000000000002</v>
      </c>
      <c r="J67" s="2">
        <v>0.16</v>
      </c>
      <c r="K67" s="2">
        <f t="shared" si="71"/>
        <v>3.1660000000000004</v>
      </c>
      <c r="L67" s="1">
        <f t="shared" si="72"/>
        <v>80.41640000000001</v>
      </c>
      <c r="N67" s="54">
        <v>3.5</v>
      </c>
      <c r="O67" s="2">
        <v>0.20499999999999999</v>
      </c>
      <c r="P67" s="2">
        <f t="shared" si="73"/>
        <v>3.09</v>
      </c>
      <c r="Q67" s="1">
        <f t="shared" si="74"/>
        <v>78.48599999999999</v>
      </c>
      <c r="S67" s="54">
        <v>88.9</v>
      </c>
      <c r="T67" s="2">
        <v>2.57</v>
      </c>
      <c r="U67" s="2">
        <f t="shared" si="75"/>
        <v>83.76</v>
      </c>
      <c r="V67" s="1"/>
    </row>
    <row r="68" spans="3:22" x14ac:dyDescent="0.25">
      <c r="C68" s="76" t="s">
        <v>1520</v>
      </c>
      <c r="D68" s="54">
        <v>4</v>
      </c>
      <c r="E68" s="2">
        <v>8.3000000000000004E-2</v>
      </c>
      <c r="F68" s="2">
        <f t="shared" si="69"/>
        <v>3.8340000000000001</v>
      </c>
      <c r="G68" s="1">
        <f t="shared" si="70"/>
        <v>97.383600000000001</v>
      </c>
      <c r="I68" s="54">
        <v>3.9809999999999999</v>
      </c>
      <c r="J68" s="2">
        <v>0.16</v>
      </c>
      <c r="K68" s="2">
        <f t="shared" si="71"/>
        <v>3.661</v>
      </c>
      <c r="L68" s="1">
        <f t="shared" si="72"/>
        <v>92.989399999999989</v>
      </c>
      <c r="N68" s="54">
        <v>4</v>
      </c>
      <c r="O68" s="2">
        <v>0.215</v>
      </c>
      <c r="P68" s="2">
        <f t="shared" si="73"/>
        <v>3.57</v>
      </c>
      <c r="Q68" s="1">
        <f t="shared" si="74"/>
        <v>90.677999999999997</v>
      </c>
      <c r="S68" s="54"/>
      <c r="T68" s="2"/>
      <c r="U68" s="2">
        <f t="shared" si="75"/>
        <v>0</v>
      </c>
      <c r="V68" s="1"/>
    </row>
    <row r="69" spans="3:22" x14ac:dyDescent="0.25">
      <c r="C69" s="76" t="s">
        <v>1521</v>
      </c>
      <c r="D69" s="54">
        <v>4.5</v>
      </c>
      <c r="E69" s="2">
        <v>8.3000000000000004E-2</v>
      </c>
      <c r="F69" s="2">
        <f t="shared" si="69"/>
        <v>4.3339999999999996</v>
      </c>
      <c r="G69" s="1">
        <f t="shared" si="70"/>
        <v>110.08359999999999</v>
      </c>
      <c r="I69" s="54">
        <v>4.476</v>
      </c>
      <c r="J69" s="2">
        <v>0.16</v>
      </c>
      <c r="K69" s="2">
        <f t="shared" si="71"/>
        <v>4.1559999999999997</v>
      </c>
      <c r="L69" s="1">
        <f t="shared" si="72"/>
        <v>105.56239999999998</v>
      </c>
      <c r="N69" s="54">
        <v>4.5</v>
      </c>
      <c r="O69" s="2">
        <v>0.22500000000000001</v>
      </c>
      <c r="P69" s="2">
        <f t="shared" si="73"/>
        <v>4.05</v>
      </c>
      <c r="Q69" s="1">
        <f t="shared" si="74"/>
        <v>102.86999999999999</v>
      </c>
      <c r="S69" s="54">
        <v>114.3</v>
      </c>
      <c r="T69" s="2">
        <v>3.48</v>
      </c>
      <c r="U69" s="2">
        <f t="shared" si="75"/>
        <v>107.34</v>
      </c>
      <c r="V69" s="1"/>
    </row>
    <row r="70" spans="3:22" x14ac:dyDescent="0.25">
      <c r="C70" s="76" t="s">
        <v>1522</v>
      </c>
      <c r="N70" s="54">
        <v>6.625</v>
      </c>
      <c r="O70" s="2">
        <v>0.26600000000000001</v>
      </c>
      <c r="P70" s="2">
        <f>+N70-(O70*2)</f>
        <v>6.093</v>
      </c>
      <c r="Q70" s="1">
        <f t="shared" si="74"/>
        <v>154.76219999999998</v>
      </c>
      <c r="S70" s="54">
        <v>168.28</v>
      </c>
      <c r="T70" s="2">
        <v>4.62</v>
      </c>
      <c r="U70" s="2">
        <f t="shared" si="75"/>
        <v>159.04</v>
      </c>
      <c r="V70" s="1"/>
    </row>
    <row r="73" spans="3:22" x14ac:dyDescent="0.25">
      <c r="G73" s="76" t="s">
        <v>1534</v>
      </c>
      <c r="H73" s="76" t="s">
        <v>1535</v>
      </c>
      <c r="I73" s="76" t="s">
        <v>1536</v>
      </c>
      <c r="J73" s="76" t="s">
        <v>1537</v>
      </c>
      <c r="K73" s="76" t="s">
        <v>1537</v>
      </c>
      <c r="L73" s="156"/>
      <c r="M73" s="156"/>
    </row>
    <row r="74" spans="3:22" x14ac:dyDescent="0.25">
      <c r="G74" s="156">
        <v>50</v>
      </c>
      <c r="H74" s="156">
        <v>100</v>
      </c>
      <c r="I74" s="156">
        <f>+G74*H74</f>
        <v>5000</v>
      </c>
      <c r="J74" s="156">
        <f t="shared" ref="J74:J85" si="76">+L74*1000</f>
        <v>1400</v>
      </c>
      <c r="K74" s="191">
        <f>+J74/I74</f>
        <v>0.28000000000000003</v>
      </c>
      <c r="L74" s="156">
        <v>1.4</v>
      </c>
      <c r="M74" s="156" t="s">
        <v>1538</v>
      </c>
    </row>
    <row r="75" spans="3:22" x14ac:dyDescent="0.25">
      <c r="G75" s="156">
        <v>100</v>
      </c>
      <c r="H75" s="156">
        <v>100</v>
      </c>
      <c r="I75" s="156">
        <f t="shared" ref="I75:I85" si="77">+G75*H75</f>
        <v>10000</v>
      </c>
      <c r="J75" s="156">
        <f t="shared" si="76"/>
        <v>2800</v>
      </c>
      <c r="K75" s="191">
        <f t="shared" ref="K75:K84" si="78">+J75/I75</f>
        <v>0.28000000000000003</v>
      </c>
      <c r="L75" s="156">
        <v>2.8</v>
      </c>
      <c r="M75" s="156" t="s">
        <v>1539</v>
      </c>
    </row>
    <row r="76" spans="3:22" x14ac:dyDescent="0.25">
      <c r="G76" s="156">
        <v>150</v>
      </c>
      <c r="H76" s="156">
        <v>100</v>
      </c>
      <c r="I76" s="156">
        <f t="shared" si="77"/>
        <v>15000</v>
      </c>
      <c r="J76" s="156">
        <f t="shared" si="76"/>
        <v>4200</v>
      </c>
      <c r="K76" s="191">
        <f t="shared" si="78"/>
        <v>0.28000000000000003</v>
      </c>
      <c r="L76" s="156">
        <v>4.2</v>
      </c>
      <c r="M76" s="156" t="s">
        <v>1540</v>
      </c>
    </row>
    <row r="77" spans="3:22" x14ac:dyDescent="0.25">
      <c r="G77" s="156">
        <v>200</v>
      </c>
      <c r="H77" s="156">
        <v>100</v>
      </c>
      <c r="I77" s="156">
        <f t="shared" si="77"/>
        <v>20000</v>
      </c>
      <c r="J77" s="156">
        <f t="shared" si="76"/>
        <v>5600</v>
      </c>
      <c r="K77" s="191">
        <f t="shared" si="78"/>
        <v>0.28000000000000003</v>
      </c>
      <c r="L77" s="156">
        <v>5.6</v>
      </c>
      <c r="M77" s="156" t="s">
        <v>1541</v>
      </c>
    </row>
    <row r="78" spans="3:22" x14ac:dyDescent="0.25">
      <c r="G78" s="156">
        <v>225</v>
      </c>
      <c r="H78" s="156">
        <v>100</v>
      </c>
      <c r="I78" s="156">
        <f t="shared" si="77"/>
        <v>22500</v>
      </c>
      <c r="J78" s="156">
        <f t="shared" si="76"/>
        <v>6100</v>
      </c>
      <c r="K78" s="191">
        <f t="shared" si="78"/>
        <v>0.27111111111111114</v>
      </c>
      <c r="L78" s="156">
        <v>6.1</v>
      </c>
      <c r="M78" s="156" t="s">
        <v>1542</v>
      </c>
    </row>
    <row r="79" spans="3:22" x14ac:dyDescent="0.25">
      <c r="G79" s="156">
        <v>300</v>
      </c>
      <c r="H79" s="156">
        <v>100</v>
      </c>
      <c r="I79" s="156">
        <f t="shared" si="77"/>
        <v>30000</v>
      </c>
      <c r="J79" s="156">
        <f t="shared" si="76"/>
        <v>8400</v>
      </c>
      <c r="K79" s="191">
        <f t="shared" si="78"/>
        <v>0.28000000000000003</v>
      </c>
      <c r="L79" s="156">
        <v>8.4</v>
      </c>
      <c r="M79" s="156" t="s">
        <v>1543</v>
      </c>
    </row>
    <row r="80" spans="3:22" x14ac:dyDescent="0.25">
      <c r="G80" s="156">
        <v>400</v>
      </c>
      <c r="H80" s="156">
        <v>100</v>
      </c>
      <c r="I80" s="156">
        <f t="shared" si="77"/>
        <v>40000</v>
      </c>
      <c r="J80" s="156">
        <f t="shared" si="76"/>
        <v>11200</v>
      </c>
      <c r="K80" s="191">
        <f t="shared" si="78"/>
        <v>0.28000000000000003</v>
      </c>
      <c r="L80" s="156">
        <v>11.2</v>
      </c>
      <c r="M80" s="156" t="s">
        <v>1544</v>
      </c>
    </row>
    <row r="81" spans="7:13" x14ac:dyDescent="0.25">
      <c r="G81" s="156">
        <v>450</v>
      </c>
      <c r="H81" s="156">
        <v>100</v>
      </c>
      <c r="I81" s="156">
        <f t="shared" si="77"/>
        <v>45000</v>
      </c>
      <c r="J81" s="156">
        <f t="shared" si="76"/>
        <v>12600</v>
      </c>
      <c r="K81" s="191">
        <f t="shared" si="78"/>
        <v>0.28000000000000003</v>
      </c>
      <c r="L81" s="156">
        <v>12.6</v>
      </c>
      <c r="M81" s="156" t="s">
        <v>1545</v>
      </c>
    </row>
    <row r="82" spans="7:13" x14ac:dyDescent="0.25">
      <c r="G82" s="156">
        <v>500</v>
      </c>
      <c r="H82" s="156">
        <v>100</v>
      </c>
      <c r="I82" s="156">
        <f t="shared" si="77"/>
        <v>50000</v>
      </c>
      <c r="J82" s="156">
        <f t="shared" si="76"/>
        <v>14000</v>
      </c>
      <c r="K82" s="191">
        <f t="shared" si="78"/>
        <v>0.28000000000000003</v>
      </c>
      <c r="L82" s="156">
        <v>14</v>
      </c>
      <c r="M82" s="156" t="s">
        <v>1546</v>
      </c>
    </row>
    <row r="83" spans="7:13" x14ac:dyDescent="0.25">
      <c r="G83" s="156">
        <v>600</v>
      </c>
      <c r="H83" s="156">
        <v>100</v>
      </c>
      <c r="I83" s="156">
        <f t="shared" si="77"/>
        <v>60000</v>
      </c>
      <c r="J83" s="156">
        <f t="shared" si="76"/>
        <v>16800</v>
      </c>
      <c r="K83" s="191">
        <f t="shared" si="78"/>
        <v>0.28000000000000003</v>
      </c>
      <c r="L83" s="156">
        <v>16.8</v>
      </c>
      <c r="M83" s="156" t="s">
        <v>1547</v>
      </c>
    </row>
    <row r="84" spans="7:13" x14ac:dyDescent="0.25">
      <c r="G84" s="156">
        <v>750</v>
      </c>
      <c r="H84" s="156">
        <v>100</v>
      </c>
      <c r="I84" s="156">
        <f t="shared" si="77"/>
        <v>75000</v>
      </c>
      <c r="J84" s="156">
        <f t="shared" si="76"/>
        <v>21000</v>
      </c>
      <c r="K84" s="191">
        <f t="shared" si="78"/>
        <v>0.28000000000000003</v>
      </c>
      <c r="L84" s="156">
        <v>21</v>
      </c>
      <c r="M84" s="156" t="s">
        <v>1548</v>
      </c>
    </row>
    <row r="85" spans="7:13" x14ac:dyDescent="0.25">
      <c r="G85" s="156">
        <v>900</v>
      </c>
      <c r="H85" s="156">
        <v>100</v>
      </c>
      <c r="I85" s="156">
        <f t="shared" si="77"/>
        <v>90000</v>
      </c>
      <c r="J85" s="156">
        <f t="shared" si="76"/>
        <v>25200</v>
      </c>
      <c r="K85" s="191">
        <f>+J85/I85</f>
        <v>0.28000000000000003</v>
      </c>
      <c r="L85" s="156">
        <v>25.2</v>
      </c>
      <c r="M85" s="156" t="s">
        <v>1549</v>
      </c>
    </row>
    <row r="86" spans="7:13" x14ac:dyDescent="0.25">
      <c r="H86" s="54"/>
      <c r="I86" s="54"/>
      <c r="J86" s="54"/>
      <c r="K86" s="75" t="s">
        <v>1550</v>
      </c>
    </row>
    <row r="88" spans="7:13" x14ac:dyDescent="0.25">
      <c r="G88" s="75" t="s">
        <v>1551</v>
      </c>
      <c r="H88" s="75" t="s">
        <v>1552</v>
      </c>
      <c r="I88" s="75" t="s">
        <v>1553</v>
      </c>
    </row>
    <row r="89" spans="7:13" x14ac:dyDescent="0.25">
      <c r="G89" s="75" t="s">
        <v>1554</v>
      </c>
      <c r="H89" s="75" t="s">
        <v>1555</v>
      </c>
      <c r="I89" s="75" t="s">
        <v>1556</v>
      </c>
    </row>
    <row r="90" spans="7:13" x14ac:dyDescent="0.25">
      <c r="G90" s="75" t="s">
        <v>1557</v>
      </c>
      <c r="H90" s="75" t="s">
        <v>1552</v>
      </c>
    </row>
  </sheetData>
  <mergeCells count="84">
    <mergeCell ref="S58:V58"/>
    <mergeCell ref="D58:G58"/>
    <mergeCell ref="I58:L58"/>
    <mergeCell ref="N58:Q58"/>
    <mergeCell ref="A40:W40"/>
    <mergeCell ref="O44:O45"/>
    <mergeCell ref="P44:P45"/>
    <mergeCell ref="Q44:Q45"/>
    <mergeCell ref="R44:R45"/>
    <mergeCell ref="S44:S45"/>
    <mergeCell ref="J44:J45"/>
    <mergeCell ref="K44:K45"/>
    <mergeCell ref="L44:L45"/>
    <mergeCell ref="M44:M45"/>
    <mergeCell ref="N44:N45"/>
    <mergeCell ref="E44:E45"/>
    <mergeCell ref="I44:I45"/>
    <mergeCell ref="D42:H42"/>
    <mergeCell ref="I42:M42"/>
    <mergeCell ref="T44:T45"/>
    <mergeCell ref="N42:R42"/>
    <mergeCell ref="S42:W42"/>
    <mergeCell ref="I43:J43"/>
    <mergeCell ref="L43:M43"/>
    <mergeCell ref="N43:O43"/>
    <mergeCell ref="Q43:R43"/>
    <mergeCell ref="S43:T43"/>
    <mergeCell ref="V43:W43"/>
    <mergeCell ref="U44:U45"/>
    <mergeCell ref="V44:V45"/>
    <mergeCell ref="W44:W45"/>
    <mergeCell ref="A43:A45"/>
    <mergeCell ref="B43:B45"/>
    <mergeCell ref="C43:C45"/>
    <mergeCell ref="D43:E43"/>
    <mergeCell ref="G43:H43"/>
    <mergeCell ref="D44:D45"/>
    <mergeCell ref="F44:F45"/>
    <mergeCell ref="G44:G45"/>
    <mergeCell ref="H44:H45"/>
    <mergeCell ref="I4:M4"/>
    <mergeCell ref="I5:J5"/>
    <mergeCell ref="L5:M5"/>
    <mergeCell ref="G5:H5"/>
    <mergeCell ref="D4:H4"/>
    <mergeCell ref="A5:A7"/>
    <mergeCell ref="B5:B7"/>
    <mergeCell ref="C5:C7"/>
    <mergeCell ref="D6:D7"/>
    <mergeCell ref="E6:E7"/>
    <mergeCell ref="M6:M7"/>
    <mergeCell ref="I6:I7"/>
    <mergeCell ref="L6:L7"/>
    <mergeCell ref="D5:E5"/>
    <mergeCell ref="O6:O7"/>
    <mergeCell ref="H6:H7"/>
    <mergeCell ref="J6:J7"/>
    <mergeCell ref="G6:G7"/>
    <mergeCell ref="F6:F7"/>
    <mergeCell ref="K6:K7"/>
    <mergeCell ref="Q6:Q7"/>
    <mergeCell ref="R6:R7"/>
    <mergeCell ref="S4:W4"/>
    <mergeCell ref="S6:S7"/>
    <mergeCell ref="T6:T7"/>
    <mergeCell ref="V6:V7"/>
    <mergeCell ref="W6:W7"/>
    <mergeCell ref="N4:R4"/>
    <mergeCell ref="N5:O5"/>
    <mergeCell ref="Q5:R5"/>
    <mergeCell ref="N6:N7"/>
    <mergeCell ref="P6:P7"/>
    <mergeCell ref="U6:U7"/>
    <mergeCell ref="X6:X7"/>
    <mergeCell ref="Y6:Y7"/>
    <mergeCell ref="Z6:Z7"/>
    <mergeCell ref="AA6:AA7"/>
    <mergeCell ref="S5:T5"/>
    <mergeCell ref="V5:W5"/>
    <mergeCell ref="AB43:AB45"/>
    <mergeCell ref="X44:X45"/>
    <mergeCell ref="Y44:Y45"/>
    <mergeCell ref="Z44:Z45"/>
    <mergeCell ref="AA44:AA45"/>
  </mergeCells>
  <phoneticPr fontId="29" type="noConversion"/>
  <pageMargins left="0.75" right="0.75" top="1" bottom="1" header="0" footer="0"/>
  <pageSetup orientation="portrait" horizontalDpi="12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94FA6-304A-45D7-BF6A-73DF763CB3F8}">
  <sheetPr codeName="Hoja45"/>
  <dimension ref="A1:AS76"/>
  <sheetViews>
    <sheetView zoomScaleNormal="100" workbookViewId="0">
      <selection activeCell="C16" sqref="C16:D17"/>
    </sheetView>
  </sheetViews>
  <sheetFormatPr baseColWidth="10" defaultColWidth="11.44140625" defaultRowHeight="14.4" x14ac:dyDescent="0.3"/>
  <cols>
    <col min="1" max="1" width="7.109375" style="685" customWidth="1"/>
    <col min="2" max="2" width="27.88671875" style="685" customWidth="1"/>
    <col min="3" max="3" width="9.88671875" style="685" customWidth="1"/>
    <col min="4" max="4" width="29.44140625" style="685" customWidth="1"/>
    <col min="5" max="5" width="10.88671875" style="1247" customWidth="1"/>
    <col min="6" max="6" width="8.88671875" style="685" customWidth="1"/>
    <col min="7" max="7" width="10.109375" style="685" customWidth="1"/>
    <col min="8" max="8" width="10.88671875" style="685" customWidth="1"/>
    <col min="9" max="9" width="9.5546875" style="685" customWidth="1"/>
    <col min="10" max="10" width="13.109375" style="685" customWidth="1"/>
    <col min="11" max="11" width="11.109375" style="685" customWidth="1"/>
    <col min="12" max="12" width="8.44140625" style="685" customWidth="1"/>
    <col min="13" max="13" width="10.88671875" style="685" customWidth="1"/>
    <col min="14" max="14" width="10.88671875" style="1246" customWidth="1"/>
    <col min="15" max="15" width="12.109375" style="685" customWidth="1"/>
    <col min="16" max="16" width="10.88671875" style="685" customWidth="1"/>
    <col min="17" max="17" width="12.109375" style="1247" customWidth="1"/>
    <col min="18" max="18" width="15" style="1247" customWidth="1"/>
    <col min="19" max="19" width="15.109375" style="1247" customWidth="1"/>
    <col min="20" max="20" width="12.109375" style="685" bestFit="1" customWidth="1"/>
    <col min="21" max="21" width="11.44140625" style="685"/>
    <col min="22" max="22" width="11.44140625" style="1247"/>
    <col min="23" max="23" width="11.44140625" style="1247" customWidth="1"/>
    <col min="24" max="24" width="12" style="1247" bestFit="1" customWidth="1"/>
    <col min="25" max="25" width="12" style="1247" customWidth="1"/>
    <col min="26" max="26" width="11.44140625" style="1247"/>
    <col min="27" max="27" width="11.44140625" style="685"/>
    <col min="28" max="45" width="12.44140625" style="685" customWidth="1"/>
    <col min="46" max="16384" width="11.44140625" style="686"/>
  </cols>
  <sheetData>
    <row r="1" spans="1:45" x14ac:dyDescent="0.3">
      <c r="A1" s="687"/>
      <c r="B1" s="687"/>
      <c r="C1" s="687"/>
      <c r="D1" s="687"/>
      <c r="E1" s="687"/>
      <c r="F1" s="687"/>
      <c r="G1" s="687"/>
      <c r="H1" s="687"/>
      <c r="I1" s="687"/>
      <c r="J1" s="687"/>
      <c r="K1" s="687"/>
      <c r="L1" s="687"/>
      <c r="M1" s="687"/>
      <c r="N1" s="687"/>
      <c r="O1" s="688"/>
      <c r="P1" s="688"/>
      <c r="Q1" s="689"/>
      <c r="R1" s="689"/>
      <c r="S1" s="689"/>
    </row>
    <row r="2" spans="1:45" ht="30.75" customHeight="1" x14ac:dyDescent="0.3">
      <c r="A2" s="704" t="s">
        <v>1981</v>
      </c>
      <c r="B2" s="704"/>
      <c r="C2" s="704"/>
      <c r="D2" s="704"/>
      <c r="E2" s="690"/>
      <c r="F2" s="704"/>
      <c r="G2" s="704"/>
      <c r="H2" s="704"/>
      <c r="I2" s="704"/>
      <c r="J2" s="704"/>
      <c r="K2" s="704"/>
      <c r="L2" s="704"/>
      <c r="M2" s="704"/>
      <c r="N2" s="2084" t="s">
        <v>1558</v>
      </c>
      <c r="O2" s="2085"/>
      <c r="P2" s="1251"/>
      <c r="Q2" s="2082" t="s">
        <v>1312</v>
      </c>
      <c r="R2" s="2099"/>
      <c r="S2" s="2083"/>
      <c r="AB2" s="2078" t="s">
        <v>1559</v>
      </c>
      <c r="AC2" s="2078" t="s">
        <v>1560</v>
      </c>
      <c r="AD2" s="2078" t="s">
        <v>1561</v>
      </c>
      <c r="AE2" s="2078" t="s">
        <v>1562</v>
      </c>
      <c r="AF2" s="2078" t="s">
        <v>1563</v>
      </c>
      <c r="AG2" s="2078" t="s">
        <v>1564</v>
      </c>
      <c r="AH2" s="2078" t="s">
        <v>1565</v>
      </c>
      <c r="AI2" s="2078" t="s">
        <v>1566</v>
      </c>
      <c r="AJ2" s="2078" t="s">
        <v>1567</v>
      </c>
      <c r="AK2" s="2078" t="s">
        <v>1568</v>
      </c>
      <c r="AL2" s="2078" t="s">
        <v>1569</v>
      </c>
      <c r="AM2" s="2078" t="s">
        <v>1570</v>
      </c>
      <c r="AN2" s="2078" t="s">
        <v>1571</v>
      </c>
      <c r="AO2" s="2078" t="s">
        <v>1572</v>
      </c>
      <c r="AP2" s="2078" t="s">
        <v>1573</v>
      </c>
      <c r="AQ2" s="2078" t="s">
        <v>1574</v>
      </c>
      <c r="AR2" s="2078" t="s">
        <v>1575</v>
      </c>
      <c r="AS2" s="2078" t="s">
        <v>1576</v>
      </c>
    </row>
    <row r="3" spans="1:45" ht="47.25" customHeight="1" x14ac:dyDescent="0.3">
      <c r="A3" s="2093" t="s">
        <v>1300</v>
      </c>
      <c r="B3" s="2093" t="s">
        <v>1301</v>
      </c>
      <c r="C3" s="2093" t="s">
        <v>1302</v>
      </c>
      <c r="D3" s="2093"/>
      <c r="E3" s="2094" t="s">
        <v>2034</v>
      </c>
      <c r="F3" s="2093" t="s">
        <v>1304</v>
      </c>
      <c r="G3" s="2093"/>
      <c r="H3" s="2093"/>
      <c r="I3" s="2093" t="s">
        <v>1305</v>
      </c>
      <c r="J3" s="2093"/>
      <c r="K3" s="691" t="s">
        <v>1577</v>
      </c>
      <c r="L3" s="691" t="s">
        <v>1578</v>
      </c>
      <c r="M3" s="691" t="s">
        <v>1579</v>
      </c>
      <c r="N3" s="1240" t="s">
        <v>1580</v>
      </c>
      <c r="O3" s="691" t="s">
        <v>1309</v>
      </c>
      <c r="P3" s="1252" t="s">
        <v>1581</v>
      </c>
      <c r="Q3" s="2082" t="s">
        <v>1582</v>
      </c>
      <c r="R3" s="2099"/>
      <c r="S3" s="2083"/>
      <c r="T3" s="691" t="s">
        <v>1310</v>
      </c>
      <c r="U3" s="691" t="s">
        <v>1311</v>
      </c>
      <c r="V3" s="691" t="s">
        <v>1583</v>
      </c>
      <c r="W3" s="691" t="s">
        <v>2027</v>
      </c>
      <c r="X3" s="691" t="s">
        <v>2030</v>
      </c>
      <c r="Y3" s="691" t="s">
        <v>2032</v>
      </c>
      <c r="Z3" s="691" t="s">
        <v>1584</v>
      </c>
      <c r="AB3" s="2079"/>
      <c r="AC3" s="2079"/>
      <c r="AD3" s="2079"/>
      <c r="AE3" s="2079"/>
      <c r="AF3" s="2079"/>
      <c r="AG3" s="2079"/>
      <c r="AH3" s="2079"/>
      <c r="AI3" s="2079"/>
      <c r="AJ3" s="2079"/>
      <c r="AK3" s="2079"/>
      <c r="AL3" s="2079"/>
      <c r="AM3" s="2079"/>
      <c r="AN3" s="2079"/>
      <c r="AO3" s="2079"/>
      <c r="AP3" s="2079"/>
      <c r="AQ3" s="2079"/>
      <c r="AR3" s="2079"/>
      <c r="AS3" s="2079"/>
    </row>
    <row r="4" spans="1:45" ht="30.75" customHeight="1" x14ac:dyDescent="0.3">
      <c r="A4" s="2093"/>
      <c r="B4" s="2093"/>
      <c r="C4" s="2093"/>
      <c r="D4" s="2093"/>
      <c r="E4" s="2093"/>
      <c r="F4" s="690" t="s">
        <v>108</v>
      </c>
      <c r="G4" s="690" t="s">
        <v>1313</v>
      </c>
      <c r="H4" s="690" t="s">
        <v>1314</v>
      </c>
      <c r="I4" s="691" t="s">
        <v>1315</v>
      </c>
      <c r="J4" s="690" t="s">
        <v>1316</v>
      </c>
      <c r="K4" s="691"/>
      <c r="L4" s="690"/>
      <c r="M4" s="690"/>
      <c r="N4" s="1241"/>
      <c r="O4" s="690" t="s">
        <v>1317</v>
      </c>
      <c r="P4" s="690"/>
      <c r="Q4" s="690" t="s">
        <v>1318</v>
      </c>
      <c r="R4" s="690" t="s">
        <v>1319</v>
      </c>
      <c r="S4" s="690" t="s">
        <v>1320</v>
      </c>
      <c r="T4" s="690" t="s">
        <v>1317</v>
      </c>
      <c r="U4" s="690" t="s">
        <v>1317</v>
      </c>
      <c r="V4" s="690" t="s">
        <v>636</v>
      </c>
      <c r="W4" s="690" t="s">
        <v>636</v>
      </c>
      <c r="X4" s="690" t="s">
        <v>636</v>
      </c>
      <c r="Y4" s="690" t="s">
        <v>636</v>
      </c>
      <c r="Z4" s="691" t="s">
        <v>1585</v>
      </c>
      <c r="AB4" s="2080"/>
      <c r="AC4" s="2080"/>
      <c r="AD4" s="2080"/>
      <c r="AE4" s="2080"/>
      <c r="AF4" s="2080"/>
      <c r="AG4" s="2080"/>
      <c r="AH4" s="2080"/>
      <c r="AI4" s="2080"/>
      <c r="AJ4" s="2080"/>
      <c r="AK4" s="2080"/>
      <c r="AL4" s="2080"/>
      <c r="AM4" s="2080"/>
      <c r="AN4" s="2080"/>
      <c r="AO4" s="2080"/>
      <c r="AP4" s="2080"/>
      <c r="AQ4" s="2080"/>
      <c r="AR4" s="2080"/>
      <c r="AS4" s="2080"/>
    </row>
    <row r="5" spans="1:45" x14ac:dyDescent="0.3">
      <c r="A5" s="692" t="s">
        <v>1321</v>
      </c>
      <c r="B5" s="692"/>
      <c r="C5" s="2090"/>
      <c r="D5" s="2091"/>
      <c r="E5" s="690"/>
      <c r="F5" s="692"/>
      <c r="G5" s="692"/>
      <c r="H5" s="692"/>
      <c r="I5" s="692"/>
      <c r="J5" s="692"/>
      <c r="K5" s="690">
        <v>0.8</v>
      </c>
      <c r="L5" s="692"/>
      <c r="M5" s="692"/>
      <c r="N5" s="1242"/>
      <c r="O5" s="692"/>
      <c r="P5" s="692"/>
      <c r="Q5" s="690"/>
      <c r="R5" s="690"/>
      <c r="S5" s="690"/>
      <c r="T5" s="1247">
        <v>0.97</v>
      </c>
      <c r="U5" s="1247">
        <v>0.98</v>
      </c>
      <c r="AB5" s="693"/>
      <c r="AC5" s="693"/>
      <c r="AD5" s="693"/>
      <c r="AE5" s="693"/>
      <c r="AF5" s="693"/>
      <c r="AG5" s="693"/>
      <c r="AH5" s="693"/>
      <c r="AI5" s="693"/>
      <c r="AJ5" s="693"/>
      <c r="AK5" s="693"/>
      <c r="AL5" s="693"/>
      <c r="AM5" s="693"/>
      <c r="AN5" s="693"/>
      <c r="AO5" s="693"/>
      <c r="AP5" s="693"/>
      <c r="AQ5" s="693"/>
      <c r="AR5" s="693"/>
      <c r="AS5" s="693"/>
    </row>
    <row r="6" spans="1:45" x14ac:dyDescent="0.3">
      <c r="A6" s="694" t="s">
        <v>1349</v>
      </c>
      <c r="B6" s="695" t="s">
        <v>1980</v>
      </c>
      <c r="C6" s="2092" t="s">
        <v>1967</v>
      </c>
      <c r="D6" s="2087"/>
      <c r="E6" s="694">
        <v>60</v>
      </c>
      <c r="F6" s="694" t="s">
        <v>1586</v>
      </c>
      <c r="G6" s="694">
        <v>480</v>
      </c>
      <c r="H6" s="694" t="s">
        <v>1587</v>
      </c>
      <c r="I6" s="1262">
        <f>E6*0.746</f>
        <v>44.76</v>
      </c>
      <c r="J6" s="705" t="s">
        <v>636</v>
      </c>
      <c r="K6" s="694">
        <f>+$K$5</f>
        <v>0.8</v>
      </c>
      <c r="L6" s="694" t="s">
        <v>771</v>
      </c>
      <c r="M6" s="694">
        <v>4</v>
      </c>
      <c r="N6" s="1288">
        <f>+VLOOKUP(M6,'Equipos-fondo'!$W$12:$AB$20,4,FALSE)</f>
        <v>0.79600000000000004</v>
      </c>
      <c r="O6" s="1288">
        <f>+VLOOKUP(M6,'Equipos-fondo'!$W$12:$AB$20,3,FALSE)</f>
        <v>0.94099999999999995</v>
      </c>
      <c r="P6" s="1289">
        <f>+VLOOKUP(M6,'Equipos-fondo'!$W$12:$AC$20,7,FALSE)</f>
        <v>480</v>
      </c>
      <c r="Q6" s="1265">
        <f>I6*K6/(T6*1)</f>
        <v>36.915463917525777</v>
      </c>
      <c r="R6" s="1265">
        <f>+Q6*TAN(ACOS(N6*Z6))</f>
        <v>28.920466925474891</v>
      </c>
      <c r="S6" s="1265">
        <f>+ROUND(SQRT(Q6^2+R6^2),2)</f>
        <v>46.9</v>
      </c>
      <c r="T6" s="1247">
        <f t="shared" ref="T6:T7" si="0">+$T$5</f>
        <v>0.97</v>
      </c>
      <c r="U6" s="1247" t="s">
        <v>589</v>
      </c>
      <c r="V6" s="1409">
        <f>'H3-PÉRDIDAS'!W34*0.001</f>
        <v>3.3030000000000004E-2</v>
      </c>
      <c r="W6" s="1409">
        <f>'H3-PÉRDIDAS'!W32*0.001</f>
        <v>0.63408000000000009</v>
      </c>
      <c r="X6" s="1409">
        <f>'Resumen Perdidas'!D16</f>
        <v>2.2000000000000002</v>
      </c>
      <c r="Y6" s="1409">
        <f>SUM(V6:X6)</f>
        <v>2.8671100000000003</v>
      </c>
      <c r="Z6" s="1248">
        <v>0.98893635286829751</v>
      </c>
      <c r="AA6" s="707"/>
      <c r="AB6" s="2100">
        <v>9</v>
      </c>
      <c r="AC6" s="2101">
        <f>+Longitudes!L10/1000</f>
        <v>1.2999999999999999E-2</v>
      </c>
      <c r="AD6" s="2088" t="s">
        <v>601</v>
      </c>
      <c r="AE6" s="2088">
        <v>750</v>
      </c>
      <c r="AF6" s="2088">
        <f>+VLOOKUP(AE6,IF(AD6="Cu",'Tablas Cables'!$L$5:$M$25,'Tablas Cables'!$P$5:$Q$25),2,FALSE)</f>
        <v>9.5000000000000001E-2</v>
      </c>
      <c r="AG6" s="1415">
        <v>1</v>
      </c>
      <c r="AH6" s="697">
        <f>+Longitudes!L11/1000</f>
        <v>1.4999999999999999E-2</v>
      </c>
      <c r="AI6" s="697" t="s">
        <v>601</v>
      </c>
      <c r="AJ6" s="697" t="s">
        <v>671</v>
      </c>
      <c r="AK6" s="697">
        <f>+VLOOKUP(AJ6,IF(AI6="Cu",'Tablas Cables'!$L$5:$M$25,'Tablas Cables'!$P$5:$Q$25),2,FALSE)</f>
        <v>0.33</v>
      </c>
      <c r="AL6" s="697">
        <v>1</v>
      </c>
      <c r="AM6" s="1416">
        <v>0.01</v>
      </c>
      <c r="AN6" s="694">
        <v>1</v>
      </c>
      <c r="AO6" s="697">
        <v>0</v>
      </c>
      <c r="AP6" s="694" t="s">
        <v>611</v>
      </c>
      <c r="AQ6" s="697" t="s">
        <v>1762</v>
      </c>
      <c r="AR6" s="697" t="s">
        <v>1762</v>
      </c>
      <c r="AS6" s="1282">
        <f>+VLOOKUP(AR6,'Tablas Cables'!$I$32:$O$42,7,FALSE)</f>
        <v>0.52200000000000002</v>
      </c>
    </row>
    <row r="7" spans="1:45" x14ac:dyDescent="0.3">
      <c r="A7" s="694" t="s">
        <v>1353</v>
      </c>
      <c r="B7" s="695" t="str">
        <f>Longitudes!C14</f>
        <v>VFD-DT-58</v>
      </c>
      <c r="C7" s="2092" t="s">
        <v>1967</v>
      </c>
      <c r="D7" s="2087"/>
      <c r="E7" s="694">
        <v>80</v>
      </c>
      <c r="F7" s="694" t="s">
        <v>1586</v>
      </c>
      <c r="G7" s="694">
        <v>480</v>
      </c>
      <c r="H7" s="694" t="s">
        <v>1587</v>
      </c>
      <c r="I7" s="1262">
        <f>E7*0.746</f>
        <v>59.68</v>
      </c>
      <c r="J7" s="705" t="s">
        <v>636</v>
      </c>
      <c r="K7" s="694">
        <f t="shared" ref="K7" si="1">+$K$5</f>
        <v>0.8</v>
      </c>
      <c r="L7" s="694" t="s">
        <v>771</v>
      </c>
      <c r="M7" s="694">
        <v>4</v>
      </c>
      <c r="N7" s="1288">
        <f>+VLOOKUP(M7,'Equipos-fondo'!$W$12:$AB$20,4,FALSE)</f>
        <v>0.79600000000000004</v>
      </c>
      <c r="O7" s="1288">
        <f>+VLOOKUP(M7,'Equipos-fondo'!$W$12:$AB$20,3,FALSE)</f>
        <v>0.94099999999999995</v>
      </c>
      <c r="P7" s="1289">
        <f>+VLOOKUP(M7,'Equipos-fondo'!$W$12:$AC$20,7,FALSE)</f>
        <v>480</v>
      </c>
      <c r="Q7" s="1265">
        <f>I7*K7/(T7*1)</f>
        <v>49.220618556701034</v>
      </c>
      <c r="R7" s="1265">
        <f t="shared" ref="R7" si="2">+Q7*TAN(ACOS(N7*Z7))</f>
        <v>38.560622567299852</v>
      </c>
      <c r="S7" s="1265">
        <f>+ROUND(SQRT(Q7^2+R7^2),2)</f>
        <v>62.53</v>
      </c>
      <c r="T7" s="1247">
        <f t="shared" si="0"/>
        <v>0.97</v>
      </c>
      <c r="U7" s="1247" t="s">
        <v>589</v>
      </c>
      <c r="V7" s="1409">
        <f>'H3-PÉRDIDAS'!W31*0.001</f>
        <v>5.8710000000000005E-2</v>
      </c>
      <c r="W7" s="1409">
        <f>('H3-PÉRDIDAS'!W32+'H3-PÉRDIDAS'!W33)*0.001</f>
        <v>0.63754000000000011</v>
      </c>
      <c r="X7" s="1409">
        <f>'Resumen Perdidas'!D13</f>
        <v>2.94</v>
      </c>
      <c r="Y7" s="1409">
        <f>SUM(V7:X7)</f>
        <v>3.63625</v>
      </c>
      <c r="Z7" s="1248">
        <v>0.98893635286829751</v>
      </c>
      <c r="AB7" s="2089"/>
      <c r="AC7" s="2102"/>
      <c r="AD7" s="2089"/>
      <c r="AE7" s="2089"/>
      <c r="AF7" s="2089"/>
      <c r="AG7" s="1415">
        <v>1</v>
      </c>
      <c r="AH7" s="1416">
        <f>+Longitudes!L12/1000</f>
        <v>0.24924000000000002</v>
      </c>
      <c r="AI7" s="697" t="s">
        <v>601</v>
      </c>
      <c r="AJ7" s="697" t="s">
        <v>671</v>
      </c>
      <c r="AK7" s="697">
        <f>+VLOOKUP(AJ7,IF(AI7="Cu",'Tablas Cables'!$L$5:$M$25,'Tablas Cables'!$P$5:$Q$25),2,FALSE)</f>
        <v>0.33</v>
      </c>
      <c r="AL7" s="697">
        <v>1</v>
      </c>
      <c r="AM7" s="1416">
        <v>0.01</v>
      </c>
      <c r="AN7" s="694">
        <v>1</v>
      </c>
      <c r="AO7" s="697">
        <v>0</v>
      </c>
      <c r="AP7" s="694" t="s">
        <v>611</v>
      </c>
      <c r="AQ7" s="697" t="s">
        <v>1762</v>
      </c>
      <c r="AR7" s="697" t="s">
        <v>1762</v>
      </c>
      <c r="AS7" s="1282">
        <f>+VLOOKUP(AR7,'Tablas Cables'!$I$32:$O$42,7,FALSE)</f>
        <v>0.52200000000000002</v>
      </c>
    </row>
    <row r="8" spans="1:45" ht="15" customHeight="1" x14ac:dyDescent="0.3">
      <c r="A8" s="694" t="s">
        <v>1597</v>
      </c>
      <c r="B8" s="1253"/>
      <c r="C8" s="2086" t="s">
        <v>2031</v>
      </c>
      <c r="D8" s="2087"/>
      <c r="E8" s="1410"/>
      <c r="F8" s="1293"/>
      <c r="G8" s="1293"/>
      <c r="H8" s="1293"/>
      <c r="I8" s="1279"/>
      <c r="J8" s="715"/>
      <c r="K8" s="1411"/>
      <c r="L8" s="1293"/>
      <c r="M8" s="1293"/>
      <c r="N8" s="1412">
        <f>+ROUND(AVERAGE(N6:N7),2)</f>
        <v>0.8</v>
      </c>
      <c r="O8" s="1293"/>
      <c r="P8" s="1293"/>
      <c r="Q8" s="1265">
        <f>Y8</f>
        <v>6.5033600000000007</v>
      </c>
      <c r="R8" s="1266"/>
      <c r="S8" s="1265">
        <f t="shared" ref="S8" si="3">+ROUND(SQRT(Q8^2+R8^2),2)</f>
        <v>6.5</v>
      </c>
      <c r="T8" s="1247"/>
      <c r="U8" s="1248"/>
      <c r="V8" s="1417">
        <f t="shared" ref="V8:X8" si="4">SUM(V6:V7)</f>
        <v>9.1740000000000016E-2</v>
      </c>
      <c r="W8" s="1417">
        <f t="shared" si="4"/>
        <v>1.2716200000000002</v>
      </c>
      <c r="X8" s="1417">
        <f t="shared" si="4"/>
        <v>5.1400000000000006</v>
      </c>
      <c r="Y8" s="1417">
        <f>SUM(Y6:Y7)</f>
        <v>6.5033600000000007</v>
      </c>
      <c r="Z8" s="1287"/>
      <c r="AB8" s="1247"/>
      <c r="AC8" s="1247"/>
      <c r="AD8" s="1247"/>
      <c r="AE8" s="1247"/>
      <c r="AF8" s="1247"/>
      <c r="AG8" s="1263"/>
      <c r="AH8" s="1263"/>
      <c r="AI8" s="1263"/>
      <c r="AJ8" s="1263"/>
      <c r="AK8" s="1263"/>
      <c r="AL8" s="1263"/>
      <c r="AM8" s="1263"/>
      <c r="AN8" s="1247"/>
      <c r="AO8" s="1263"/>
      <c r="AP8" s="1247"/>
      <c r="AQ8" s="1263"/>
      <c r="AR8" s="1263"/>
      <c r="AS8" s="1263"/>
    </row>
    <row r="9" spans="1:45" ht="9" customHeight="1" x14ac:dyDescent="0.3">
      <c r="A9" s="698"/>
      <c r="B9" s="699"/>
      <c r="C9" s="1201"/>
      <c r="D9" s="1202"/>
      <c r="E9" s="1293"/>
      <c r="F9" s="700"/>
      <c r="G9" s="700"/>
      <c r="H9" s="700"/>
      <c r="J9" s="701"/>
      <c r="K9" s="701"/>
      <c r="L9" s="702"/>
      <c r="M9" s="699"/>
      <c r="N9" s="1243"/>
      <c r="O9" s="699"/>
      <c r="P9" s="699"/>
      <c r="Q9" s="1277"/>
      <c r="R9" s="1277"/>
      <c r="S9" s="1278"/>
      <c r="T9" s="703"/>
      <c r="U9" s="1283"/>
    </row>
    <row r="10" spans="1:45" x14ac:dyDescent="0.3">
      <c r="A10" s="2081" t="s">
        <v>1599</v>
      </c>
      <c r="B10" s="2081"/>
      <c r="C10" s="2082"/>
      <c r="D10" s="2083"/>
      <c r="E10" s="690"/>
      <c r="F10" s="704"/>
      <c r="G10" s="704"/>
      <c r="H10" s="704"/>
      <c r="I10" s="705"/>
      <c r="J10" s="704"/>
      <c r="K10" s="704"/>
      <c r="L10" s="704"/>
      <c r="M10" s="704"/>
      <c r="N10" s="1239"/>
      <c r="O10" s="704"/>
      <c r="P10" s="704"/>
      <c r="Q10" s="1267">
        <f>SUM(Q6:Q8)</f>
        <v>92.639442474226811</v>
      </c>
      <c r="R10" s="1268">
        <f>SUM(R6:R8)</f>
        <v>67.481089492774743</v>
      </c>
      <c r="S10" s="1269">
        <f>+ROUND(SQRT(Q10^2+R10^2),2)</f>
        <v>114.61</v>
      </c>
    </row>
    <row r="11" spans="1:45" x14ac:dyDescent="0.3">
      <c r="A11" s="2081" t="s">
        <v>1600</v>
      </c>
      <c r="B11" s="2081"/>
      <c r="C11" s="2082"/>
      <c r="D11" s="2083"/>
      <c r="E11" s="690"/>
      <c r="F11" s="704"/>
      <c r="G11" s="704"/>
      <c r="H11" s="704"/>
      <c r="I11" s="705"/>
      <c r="J11" s="704"/>
      <c r="K11" s="704"/>
      <c r="L11" s="704"/>
      <c r="M11" s="704"/>
      <c r="N11" s="1239"/>
      <c r="O11" s="704"/>
      <c r="P11" s="704"/>
      <c r="Q11" s="1270"/>
      <c r="R11" s="1270"/>
      <c r="S11" s="1270">
        <f>Q10/S10</f>
        <v>0.80830156595608427</v>
      </c>
      <c r="U11" s="707"/>
      <c r="V11" s="1264"/>
      <c r="W11" s="1264"/>
    </row>
    <row r="12" spans="1:45" x14ac:dyDescent="0.3">
      <c r="A12" s="2096" t="s">
        <v>1601</v>
      </c>
      <c r="B12" s="2096"/>
      <c r="C12" s="2096"/>
      <c r="D12" s="2096"/>
      <c r="E12" s="1291"/>
      <c r="F12" s="708"/>
      <c r="G12" s="708"/>
      <c r="H12" s="708"/>
      <c r="I12" s="709"/>
      <c r="J12" s="708"/>
      <c r="K12" s="708"/>
      <c r="L12" s="708"/>
      <c r="M12" s="708"/>
      <c r="N12" s="1244"/>
      <c r="O12" s="708"/>
      <c r="P12" s="708"/>
      <c r="Q12" s="1271"/>
      <c r="R12" s="1271"/>
      <c r="S12" s="1272"/>
      <c r="U12" s="707"/>
      <c r="W12" s="1247" t="s">
        <v>1602</v>
      </c>
      <c r="Z12" s="685" t="s">
        <v>1603</v>
      </c>
      <c r="AG12"/>
    </row>
    <row r="13" spans="1:45" s="685" customFormat="1" ht="12" x14ac:dyDescent="0.25">
      <c r="A13" s="708"/>
      <c r="B13" s="708"/>
      <c r="C13" s="708"/>
      <c r="D13" s="708"/>
      <c r="E13" s="1291"/>
      <c r="F13" s="708"/>
      <c r="G13" s="708"/>
      <c r="H13" s="708"/>
      <c r="I13" s="709"/>
      <c r="J13" s="708"/>
      <c r="K13" s="708"/>
      <c r="L13" s="708"/>
      <c r="M13" s="708"/>
      <c r="N13" s="1244"/>
      <c r="O13" s="708"/>
      <c r="P13" s="708"/>
      <c r="Q13" s="1273"/>
      <c r="R13" s="1274"/>
      <c r="S13" s="1275"/>
      <c r="V13" s="1247"/>
      <c r="W13" s="1247"/>
      <c r="X13" s="1247"/>
      <c r="Y13" s="1247"/>
      <c r="Z13" s="1247"/>
    </row>
    <row r="14" spans="1:45" s="685" customFormat="1" ht="12" x14ac:dyDescent="0.25">
      <c r="A14" s="708"/>
      <c r="B14" s="708"/>
      <c r="C14" s="708"/>
      <c r="D14" s="708"/>
      <c r="E14" s="1291"/>
      <c r="F14" s="708"/>
      <c r="G14" s="708"/>
      <c r="H14" s="708"/>
      <c r="I14" s="709"/>
      <c r="J14" s="708"/>
      <c r="K14" s="708"/>
      <c r="L14" s="708"/>
      <c r="M14" s="708"/>
      <c r="N14" s="1244"/>
      <c r="O14" s="708"/>
      <c r="P14" s="708"/>
      <c r="Q14" s="1273"/>
      <c r="R14" s="1274"/>
      <c r="S14" s="1275"/>
      <c r="V14" s="1247"/>
      <c r="W14" s="1247"/>
      <c r="X14" s="1247"/>
      <c r="Y14" s="1247"/>
      <c r="Z14" s="1247"/>
      <c r="AM14" s="707"/>
    </row>
    <row r="15" spans="1:45" ht="30.75" customHeight="1" x14ac:dyDescent="0.3">
      <c r="A15" s="704" t="s">
        <v>1982</v>
      </c>
      <c r="B15" s="704"/>
      <c r="C15" s="704"/>
      <c r="D15" s="704"/>
      <c r="E15" s="690"/>
      <c r="F15" s="704"/>
      <c r="G15" s="704"/>
      <c r="H15" s="704"/>
      <c r="I15" s="704"/>
      <c r="J15" s="704"/>
      <c r="K15" s="704"/>
      <c r="L15" s="704"/>
      <c r="M15" s="704"/>
      <c r="N15" s="2084" t="s">
        <v>1558</v>
      </c>
      <c r="O15" s="2085"/>
      <c r="P15" s="1251"/>
      <c r="Q15" s="2082" t="s">
        <v>1312</v>
      </c>
      <c r="R15" s="2099"/>
      <c r="S15" s="2083"/>
      <c r="AB15" s="2078" t="s">
        <v>1559</v>
      </c>
      <c r="AC15" s="2078" t="s">
        <v>1560</v>
      </c>
      <c r="AD15" s="2078" t="s">
        <v>1561</v>
      </c>
      <c r="AE15" s="2078" t="s">
        <v>1562</v>
      </c>
      <c r="AF15" s="2078" t="s">
        <v>1563</v>
      </c>
      <c r="AG15" s="2078" t="s">
        <v>1564</v>
      </c>
      <c r="AH15" s="2078" t="s">
        <v>1565</v>
      </c>
      <c r="AI15" s="2078" t="s">
        <v>1566</v>
      </c>
      <c r="AJ15" s="2078" t="s">
        <v>1567</v>
      </c>
      <c r="AK15" s="2078" t="s">
        <v>1568</v>
      </c>
      <c r="AL15" s="2078" t="s">
        <v>1569</v>
      </c>
      <c r="AM15" s="2078" t="s">
        <v>1570</v>
      </c>
      <c r="AN15" s="2078" t="s">
        <v>1571</v>
      </c>
      <c r="AO15" s="2078" t="s">
        <v>1572</v>
      </c>
      <c r="AP15" s="2078" t="s">
        <v>1573</v>
      </c>
      <c r="AQ15" s="2078" t="s">
        <v>1574</v>
      </c>
      <c r="AR15" s="2078" t="s">
        <v>1575</v>
      </c>
      <c r="AS15" s="2078" t="s">
        <v>1576</v>
      </c>
    </row>
    <row r="16" spans="1:45" ht="55.8" customHeight="1" x14ac:dyDescent="0.3">
      <c r="A16" s="2093" t="s">
        <v>1300</v>
      </c>
      <c r="B16" s="2093" t="s">
        <v>1301</v>
      </c>
      <c r="C16" s="2093" t="s">
        <v>1302</v>
      </c>
      <c r="D16" s="2093"/>
      <c r="E16" s="2094" t="s">
        <v>2034</v>
      </c>
      <c r="F16" s="2093" t="s">
        <v>1304</v>
      </c>
      <c r="G16" s="2093"/>
      <c r="H16" s="2093"/>
      <c r="I16" s="2093" t="s">
        <v>1305</v>
      </c>
      <c r="J16" s="2093"/>
      <c r="K16" s="691" t="s">
        <v>1577</v>
      </c>
      <c r="L16" s="691" t="s">
        <v>1578</v>
      </c>
      <c r="M16" s="691" t="s">
        <v>1579</v>
      </c>
      <c r="N16" s="1240" t="s">
        <v>1580</v>
      </c>
      <c r="O16" s="691" t="s">
        <v>1309</v>
      </c>
      <c r="P16" s="1252" t="s">
        <v>1581</v>
      </c>
      <c r="Q16" s="2082" t="s">
        <v>1582</v>
      </c>
      <c r="R16" s="2099"/>
      <c r="S16" s="2083"/>
      <c r="T16" s="691" t="s">
        <v>1310</v>
      </c>
      <c r="U16" s="691" t="s">
        <v>1311</v>
      </c>
      <c r="V16" s="691" t="s">
        <v>2035</v>
      </c>
      <c r="W16" s="691"/>
      <c r="X16" s="691"/>
      <c r="Y16" s="691" t="s">
        <v>2032</v>
      </c>
      <c r="Z16" s="691" t="s">
        <v>1584</v>
      </c>
      <c r="AB16" s="2079"/>
      <c r="AC16" s="2079"/>
      <c r="AD16" s="2079"/>
      <c r="AE16" s="2079"/>
      <c r="AF16" s="2079"/>
      <c r="AG16" s="2079"/>
      <c r="AH16" s="2079"/>
      <c r="AI16" s="2079"/>
      <c r="AJ16" s="2079"/>
      <c r="AK16" s="2079"/>
      <c r="AL16" s="2079"/>
      <c r="AM16" s="2079"/>
      <c r="AN16" s="2079"/>
      <c r="AO16" s="2079"/>
      <c r="AP16" s="2079"/>
      <c r="AQ16" s="2079"/>
      <c r="AR16" s="2079"/>
      <c r="AS16" s="2079"/>
    </row>
    <row r="17" spans="1:45" ht="30.75" customHeight="1" x14ac:dyDescent="0.3">
      <c r="A17" s="2093"/>
      <c r="B17" s="2093"/>
      <c r="C17" s="2093"/>
      <c r="D17" s="2093"/>
      <c r="E17" s="2093"/>
      <c r="F17" s="690" t="s">
        <v>108</v>
      </c>
      <c r="G17" s="690" t="s">
        <v>1313</v>
      </c>
      <c r="H17" s="690" t="s">
        <v>1314</v>
      </c>
      <c r="I17" s="691" t="s">
        <v>1315</v>
      </c>
      <c r="J17" s="690" t="s">
        <v>1316</v>
      </c>
      <c r="K17" s="691"/>
      <c r="L17" s="690"/>
      <c r="M17" s="690"/>
      <c r="N17" s="1241"/>
      <c r="O17" s="690" t="s">
        <v>1317</v>
      </c>
      <c r="P17" s="690"/>
      <c r="Q17" s="690" t="s">
        <v>1318</v>
      </c>
      <c r="R17" s="690" t="s">
        <v>1319</v>
      </c>
      <c r="S17" s="690" t="s">
        <v>1320</v>
      </c>
      <c r="T17" s="690" t="s">
        <v>1317</v>
      </c>
      <c r="U17" s="690" t="s">
        <v>1317</v>
      </c>
      <c r="V17" s="690" t="s">
        <v>636</v>
      </c>
      <c r="W17" s="690" t="s">
        <v>636</v>
      </c>
      <c r="X17" s="690" t="s">
        <v>636</v>
      </c>
      <c r="Y17" s="690" t="s">
        <v>636</v>
      </c>
      <c r="Z17" s="691" t="s">
        <v>1585</v>
      </c>
      <c r="AB17" s="2080"/>
      <c r="AC17" s="2080"/>
      <c r="AD17" s="2080"/>
      <c r="AE17" s="2080"/>
      <c r="AF17" s="2080"/>
      <c r="AG17" s="2080"/>
      <c r="AH17" s="2080"/>
      <c r="AI17" s="2080"/>
      <c r="AJ17" s="2080"/>
      <c r="AK17" s="2080"/>
      <c r="AL17" s="2080"/>
      <c r="AM17" s="2080"/>
      <c r="AN17" s="2080"/>
      <c r="AO17" s="2080"/>
      <c r="AP17" s="2080"/>
      <c r="AQ17" s="2080"/>
      <c r="AR17" s="2080"/>
      <c r="AS17" s="2080"/>
    </row>
    <row r="18" spans="1:45" x14ac:dyDescent="0.3">
      <c r="A18" s="692" t="s">
        <v>1321</v>
      </c>
      <c r="B18" s="692"/>
      <c r="C18" s="2090"/>
      <c r="D18" s="2091"/>
      <c r="E18" s="690"/>
      <c r="F18" s="692"/>
      <c r="G18" s="692"/>
      <c r="H18" s="692"/>
      <c r="I18" s="692"/>
      <c r="J18" s="692"/>
      <c r="K18" s="690">
        <v>0.8</v>
      </c>
      <c r="L18" s="692"/>
      <c r="M18" s="692"/>
      <c r="N18" s="1242"/>
      <c r="O18" s="692"/>
      <c r="P18" s="692"/>
      <c r="Q18" s="690"/>
      <c r="R18" s="690"/>
      <c r="S18" s="690"/>
      <c r="T18" s="1247">
        <v>0.97</v>
      </c>
      <c r="U18" s="1247">
        <v>0.98</v>
      </c>
      <c r="AB18" s="693"/>
      <c r="AC18" s="693"/>
      <c r="AD18" s="693"/>
      <c r="AE18" s="693"/>
      <c r="AF18" s="693"/>
      <c r="AG18" s="693"/>
      <c r="AH18" s="693"/>
      <c r="AI18" s="693"/>
      <c r="AJ18" s="693"/>
      <c r="AK18" s="693"/>
      <c r="AL18" s="693"/>
      <c r="AM18" s="693"/>
      <c r="AN18" s="693"/>
      <c r="AO18" s="693"/>
      <c r="AP18" s="693"/>
      <c r="AQ18" s="693"/>
      <c r="AR18" s="693"/>
      <c r="AS18" s="693"/>
    </row>
    <row r="19" spans="1:45" x14ac:dyDescent="0.3">
      <c r="A19" s="694" t="s">
        <v>1349</v>
      </c>
      <c r="B19" s="695" t="s">
        <v>1984</v>
      </c>
      <c r="C19" s="2092" t="s">
        <v>2033</v>
      </c>
      <c r="D19" s="2087"/>
      <c r="E19" s="694">
        <f>SUM(E6:E7)</f>
        <v>140</v>
      </c>
      <c r="F19" s="694" t="str">
        <f t="shared" ref="F19:P19" si="5">F6</f>
        <v>AC</v>
      </c>
      <c r="G19" s="694">
        <f t="shared" si="5"/>
        <v>480</v>
      </c>
      <c r="H19" s="694" t="str">
        <f t="shared" si="5"/>
        <v>3 Fases</v>
      </c>
      <c r="I19" s="694">
        <f>SUM(I6:I7)</f>
        <v>104.44</v>
      </c>
      <c r="J19" s="694" t="str">
        <f t="shared" si="5"/>
        <v>kW</v>
      </c>
      <c r="K19" s="694">
        <f t="shared" si="5"/>
        <v>0.8</v>
      </c>
      <c r="L19" s="694" t="str">
        <f t="shared" si="5"/>
        <v>C</v>
      </c>
      <c r="M19" s="694">
        <f t="shared" si="5"/>
        <v>4</v>
      </c>
      <c r="N19" s="694">
        <f t="shared" si="5"/>
        <v>0.79600000000000004</v>
      </c>
      <c r="O19" s="694">
        <f t="shared" si="5"/>
        <v>0.94099999999999995</v>
      </c>
      <c r="P19" s="694">
        <f t="shared" si="5"/>
        <v>480</v>
      </c>
      <c r="Q19" s="1265">
        <f>Q10</f>
        <v>92.639442474226811</v>
      </c>
      <c r="R19" s="1265">
        <f>R10</f>
        <v>67.481089492774743</v>
      </c>
      <c r="S19" s="1265">
        <f>+ROUND(SQRT(Q19^2+R19^2),2)</f>
        <v>114.61</v>
      </c>
      <c r="T19" s="1247">
        <f t="shared" ref="T19" si="6">+$T$5</f>
        <v>0.97</v>
      </c>
      <c r="U19" s="1247" t="s">
        <v>589</v>
      </c>
      <c r="V19" s="1417">
        <f>'Resumen Perdidas'!D25</f>
        <v>2.7220399999999998</v>
      </c>
      <c r="W19" s="1248"/>
      <c r="X19" s="1248"/>
      <c r="Y19" s="1409">
        <f>SUM(V19:X19)</f>
        <v>2.7220399999999998</v>
      </c>
      <c r="Z19" s="1248">
        <v>0.98893635286829751</v>
      </c>
      <c r="AA19" s="707"/>
      <c r="AB19" s="1413">
        <v>9</v>
      </c>
      <c r="AC19" s="1414">
        <f>+Longitudes!L23/1000</f>
        <v>0</v>
      </c>
      <c r="AD19" s="1408" t="s">
        <v>601</v>
      </c>
      <c r="AE19" s="1408">
        <v>750</v>
      </c>
      <c r="AF19" s="1408">
        <f>+VLOOKUP(AE19,IF(AD19="Cu",'Tablas Cables'!$L$5:$M$25,'Tablas Cables'!$P$5:$Q$25),2,FALSE)</f>
        <v>9.5000000000000001E-2</v>
      </c>
      <c r="AG19" s="1415">
        <v>1</v>
      </c>
      <c r="AH19" s="697">
        <f>+Longitudes!L24/1000</f>
        <v>0</v>
      </c>
      <c r="AI19" s="697" t="s">
        <v>601</v>
      </c>
      <c r="AJ19" s="697" t="s">
        <v>671</v>
      </c>
      <c r="AK19" s="697">
        <f>+VLOOKUP(AJ19,IF(AI19="Cu",'Tablas Cables'!$L$5:$M$25,'Tablas Cables'!$P$5:$Q$25),2,FALSE)</f>
        <v>0.33</v>
      </c>
      <c r="AL19" s="697">
        <v>1</v>
      </c>
      <c r="AM19" s="1416">
        <v>0.01</v>
      </c>
      <c r="AN19" s="694">
        <v>1</v>
      </c>
      <c r="AO19" s="697">
        <v>0</v>
      </c>
      <c r="AP19" s="694" t="s">
        <v>611</v>
      </c>
      <c r="AQ19" s="697" t="s">
        <v>1762</v>
      </c>
      <c r="AR19" s="697" t="s">
        <v>1762</v>
      </c>
      <c r="AS19" s="1282">
        <f>+VLOOKUP(AR19,'Tablas Cables'!$I$32:$O$42,7,FALSE)</f>
        <v>0.52200000000000002</v>
      </c>
    </row>
    <row r="20" spans="1:45" ht="15" customHeight="1" x14ac:dyDescent="0.3">
      <c r="A20" s="694" t="s">
        <v>1597</v>
      </c>
      <c r="B20" s="1253"/>
      <c r="C20" s="2086" t="s">
        <v>1598</v>
      </c>
      <c r="D20" s="2087"/>
      <c r="E20" s="1410"/>
      <c r="F20" s="1293"/>
      <c r="G20" s="1293"/>
      <c r="H20" s="1293"/>
      <c r="I20" s="1279"/>
      <c r="J20" s="715"/>
      <c r="K20" s="1411"/>
      <c r="L20" s="1293"/>
      <c r="M20" s="1293"/>
      <c r="N20" s="1412">
        <f>+ROUND(AVERAGE(N19:N19),2)</f>
        <v>0.8</v>
      </c>
      <c r="O20" s="1293"/>
      <c r="P20" s="1293"/>
      <c r="Q20" s="1265">
        <f>Y19</f>
        <v>2.7220399999999998</v>
      </c>
      <c r="R20" s="1266"/>
      <c r="S20" s="1265">
        <f t="shared" ref="S20" si="7">+ROUND(SQRT(Q20^2+R20^2),2)</f>
        <v>2.72</v>
      </c>
      <c r="T20" s="1247"/>
      <c r="U20" s="1248"/>
      <c r="X20" s="1286"/>
      <c r="Y20" s="1286"/>
      <c r="Z20" s="1287"/>
      <c r="AB20" s="1247"/>
      <c r="AC20" s="1247"/>
      <c r="AD20" s="1247"/>
      <c r="AE20" s="1247"/>
      <c r="AF20" s="1247"/>
      <c r="AG20" s="1263"/>
      <c r="AH20" s="1263"/>
      <c r="AI20" s="1263"/>
      <c r="AJ20" s="1263"/>
      <c r="AK20" s="1263"/>
      <c r="AL20" s="1263"/>
      <c r="AM20" s="1263"/>
      <c r="AN20" s="1247"/>
      <c r="AO20" s="1263"/>
      <c r="AP20" s="1247"/>
      <c r="AQ20" s="1263"/>
      <c r="AR20" s="1263"/>
      <c r="AS20" s="1263"/>
    </row>
    <row r="21" spans="1:45" x14ac:dyDescent="0.3">
      <c r="A21" s="698"/>
      <c r="B21" s="699"/>
      <c r="C21" s="1201"/>
      <c r="D21" s="1202"/>
      <c r="E21" s="1293"/>
      <c r="F21" s="700"/>
      <c r="G21" s="700"/>
      <c r="H21" s="700"/>
      <c r="J21" s="701"/>
      <c r="K21" s="701"/>
      <c r="L21" s="702"/>
      <c r="M21" s="699"/>
      <c r="N21" s="1243"/>
      <c r="O21" s="699"/>
      <c r="P21" s="699"/>
      <c r="Q21" s="1277"/>
      <c r="R21" s="1277"/>
      <c r="S21" s="1278"/>
      <c r="T21" s="703"/>
      <c r="U21" s="1283"/>
    </row>
    <row r="22" spans="1:45" x14ac:dyDescent="0.3">
      <c r="A22" s="2081" t="s">
        <v>1599</v>
      </c>
      <c r="B22" s="2081"/>
      <c r="C22" s="2082"/>
      <c r="D22" s="2083"/>
      <c r="E22" s="690"/>
      <c r="F22" s="704"/>
      <c r="G22" s="704"/>
      <c r="H22" s="704"/>
      <c r="I22" s="705"/>
      <c r="J22" s="704"/>
      <c r="K22" s="704"/>
      <c r="L22" s="704"/>
      <c r="M22" s="704"/>
      <c r="N22" s="1239"/>
      <c r="O22" s="704"/>
      <c r="P22" s="704"/>
      <c r="Q22" s="1267">
        <f>SUM(Q19:Q21)</f>
        <v>95.361482474226818</v>
      </c>
      <c r="R22" s="1268">
        <f>SUM(R19:R21)</f>
        <v>67.481089492774743</v>
      </c>
      <c r="S22" s="1269">
        <f>+ROUND(SQRT(Q22^2+R22^2),2)</f>
        <v>116.82</v>
      </c>
    </row>
    <row r="23" spans="1:45" x14ac:dyDescent="0.3">
      <c r="A23" s="2081" t="s">
        <v>1600</v>
      </c>
      <c r="B23" s="2081"/>
      <c r="C23" s="2082"/>
      <c r="D23" s="2083"/>
      <c r="E23" s="690"/>
      <c r="F23" s="704"/>
      <c r="G23" s="704"/>
      <c r="H23" s="704"/>
      <c r="I23" s="705"/>
      <c r="J23" s="704"/>
      <c r="K23" s="704"/>
      <c r="L23" s="704"/>
      <c r="M23" s="704"/>
      <c r="N23" s="1239"/>
      <c r="O23" s="704"/>
      <c r="P23" s="704"/>
      <c r="Q23" s="1270"/>
      <c r="R23" s="1270"/>
      <c r="S23" s="1270">
        <f>Q22/S22</f>
        <v>0.81631126925378206</v>
      </c>
      <c r="U23" s="707"/>
      <c r="V23" s="1264"/>
      <c r="W23" s="1264"/>
    </row>
    <row r="24" spans="1:45" x14ac:dyDescent="0.3">
      <c r="A24" s="2096" t="s">
        <v>1601</v>
      </c>
      <c r="B24" s="2096"/>
      <c r="C24" s="2096"/>
      <c r="D24" s="2096"/>
      <c r="E24" s="1291"/>
      <c r="F24" s="708"/>
      <c r="G24" s="708"/>
      <c r="H24" s="708"/>
      <c r="I24" s="709"/>
      <c r="J24" s="708"/>
      <c r="K24" s="708"/>
      <c r="L24" s="708"/>
      <c r="M24" s="708"/>
      <c r="N24" s="1244"/>
      <c r="O24" s="708"/>
      <c r="P24" s="708"/>
      <c r="Q24" s="1271"/>
      <c r="R24" s="1271"/>
      <c r="S24" s="1272"/>
      <c r="U24" s="707"/>
      <c r="W24" s="1247" t="s">
        <v>1602</v>
      </c>
      <c r="Z24" s="685" t="s">
        <v>1603</v>
      </c>
      <c r="AG24"/>
    </row>
    <row r="25" spans="1:45" s="685" customFormat="1" ht="12" x14ac:dyDescent="0.25">
      <c r="A25" s="708"/>
      <c r="B25" s="708"/>
      <c r="C25" s="708"/>
      <c r="D25" s="708"/>
      <c r="E25" s="1291"/>
      <c r="F25" s="708"/>
      <c r="G25" s="708"/>
      <c r="H25" s="708"/>
      <c r="I25" s="709"/>
      <c r="J25" s="708"/>
      <c r="K25" s="708"/>
      <c r="L25" s="708"/>
      <c r="M25" s="708"/>
      <c r="N25" s="1244"/>
      <c r="O25" s="708"/>
      <c r="P25" s="708"/>
      <c r="Q25" s="1273"/>
      <c r="R25" s="1274"/>
      <c r="S25" s="1275"/>
      <c r="V25" s="1247"/>
      <c r="W25" s="1247"/>
      <c r="X25" s="1247"/>
      <c r="Y25" s="1247"/>
      <c r="Z25" s="1247"/>
    </row>
    <row r="26" spans="1:45" ht="30.75" customHeight="1" x14ac:dyDescent="0.3">
      <c r="A26" s="704" t="s">
        <v>1983</v>
      </c>
      <c r="B26" s="704"/>
      <c r="C26" s="704"/>
      <c r="D26" s="704"/>
      <c r="E26" s="690"/>
      <c r="F26" s="704"/>
      <c r="G26" s="704"/>
      <c r="H26" s="704"/>
      <c r="I26" s="704"/>
      <c r="J26" s="704"/>
      <c r="K26" s="704"/>
      <c r="L26" s="704"/>
      <c r="M26" s="704"/>
      <c r="N26" s="2084" t="s">
        <v>1558</v>
      </c>
      <c r="O26" s="2085"/>
      <c r="P26" s="1251"/>
      <c r="Q26" s="2082" t="s">
        <v>1312</v>
      </c>
      <c r="R26" s="2099"/>
      <c r="S26" s="2083"/>
      <c r="AB26" s="2078" t="s">
        <v>1559</v>
      </c>
      <c r="AC26" s="2078" t="s">
        <v>1560</v>
      </c>
      <c r="AD26" s="2078" t="s">
        <v>1561</v>
      </c>
      <c r="AE26" s="2078" t="s">
        <v>1562</v>
      </c>
      <c r="AF26" s="2078" t="s">
        <v>1563</v>
      </c>
      <c r="AG26" s="2078" t="s">
        <v>1564</v>
      </c>
      <c r="AH26" s="2078" t="s">
        <v>1565</v>
      </c>
      <c r="AI26" s="2078" t="s">
        <v>1566</v>
      </c>
      <c r="AJ26" s="2078" t="s">
        <v>1567</v>
      </c>
      <c r="AK26" s="2078" t="s">
        <v>1568</v>
      </c>
      <c r="AL26" s="2078" t="s">
        <v>1569</v>
      </c>
      <c r="AM26" s="2078" t="s">
        <v>1570</v>
      </c>
      <c r="AN26" s="2078" t="s">
        <v>1571</v>
      </c>
      <c r="AO26" s="2078" t="s">
        <v>1572</v>
      </c>
      <c r="AP26" s="2078" t="s">
        <v>1573</v>
      </c>
      <c r="AQ26" s="2078" t="s">
        <v>1574</v>
      </c>
      <c r="AR26" s="2078" t="s">
        <v>1575</v>
      </c>
      <c r="AS26" s="2078" t="s">
        <v>1576</v>
      </c>
    </row>
    <row r="27" spans="1:45" ht="55.8" customHeight="1" x14ac:dyDescent="0.3">
      <c r="A27" s="2093" t="s">
        <v>1300</v>
      </c>
      <c r="B27" s="2093" t="s">
        <v>1301</v>
      </c>
      <c r="C27" s="2093" t="s">
        <v>1302</v>
      </c>
      <c r="D27" s="2093"/>
      <c r="E27" s="2094" t="s">
        <v>2034</v>
      </c>
      <c r="F27" s="2093" t="s">
        <v>1304</v>
      </c>
      <c r="G27" s="2093"/>
      <c r="H27" s="2093"/>
      <c r="I27" s="2093" t="s">
        <v>1305</v>
      </c>
      <c r="J27" s="2093"/>
      <c r="K27" s="691" t="s">
        <v>1577</v>
      </c>
      <c r="L27" s="691" t="s">
        <v>1578</v>
      </c>
      <c r="M27" s="691" t="s">
        <v>1579</v>
      </c>
      <c r="N27" s="1240" t="s">
        <v>1580</v>
      </c>
      <c r="O27" s="691" t="s">
        <v>1309</v>
      </c>
      <c r="P27" s="1252" t="s">
        <v>1581</v>
      </c>
      <c r="Q27" s="2082" t="s">
        <v>1582</v>
      </c>
      <c r="R27" s="2099"/>
      <c r="S27" s="2083"/>
      <c r="T27" s="691" t="s">
        <v>1310</v>
      </c>
      <c r="U27" s="691" t="s">
        <v>1311</v>
      </c>
      <c r="V27" s="691" t="s">
        <v>2039</v>
      </c>
      <c r="W27" s="691" t="s">
        <v>2040</v>
      </c>
      <c r="X27" s="691"/>
      <c r="Y27" s="691" t="s">
        <v>2032</v>
      </c>
      <c r="Z27" s="691" t="s">
        <v>1584</v>
      </c>
      <c r="AB27" s="2079"/>
      <c r="AC27" s="2079"/>
      <c r="AD27" s="2079"/>
      <c r="AE27" s="2079"/>
      <c r="AF27" s="2079"/>
      <c r="AG27" s="2079"/>
      <c r="AH27" s="2079"/>
      <c r="AI27" s="2079"/>
      <c r="AJ27" s="2079"/>
      <c r="AK27" s="2079"/>
      <c r="AL27" s="2079"/>
      <c r="AM27" s="2079"/>
      <c r="AN27" s="2079"/>
      <c r="AO27" s="2079"/>
      <c r="AP27" s="2079"/>
      <c r="AQ27" s="2079"/>
      <c r="AR27" s="2079"/>
      <c r="AS27" s="2079"/>
    </row>
    <row r="28" spans="1:45" ht="30.75" customHeight="1" x14ac:dyDescent="0.3">
      <c r="A28" s="2093"/>
      <c r="B28" s="2093"/>
      <c r="C28" s="2093"/>
      <c r="D28" s="2093"/>
      <c r="E28" s="2093"/>
      <c r="F28" s="690" t="s">
        <v>108</v>
      </c>
      <c r="G28" s="690" t="s">
        <v>1313</v>
      </c>
      <c r="H28" s="690" t="s">
        <v>1314</v>
      </c>
      <c r="I28" s="691" t="s">
        <v>1315</v>
      </c>
      <c r="J28" s="690" t="s">
        <v>1316</v>
      </c>
      <c r="K28" s="691"/>
      <c r="L28" s="690"/>
      <c r="M28" s="690"/>
      <c r="N28" s="1241"/>
      <c r="O28" s="690" t="s">
        <v>1317</v>
      </c>
      <c r="P28" s="690"/>
      <c r="Q28" s="690" t="s">
        <v>1318</v>
      </c>
      <c r="R28" s="690" t="s">
        <v>1319</v>
      </c>
      <c r="S28" s="690" t="s">
        <v>1320</v>
      </c>
      <c r="T28" s="690" t="s">
        <v>1317</v>
      </c>
      <c r="U28" s="690" t="s">
        <v>1317</v>
      </c>
      <c r="V28" s="690" t="s">
        <v>636</v>
      </c>
      <c r="W28" s="690" t="s">
        <v>636</v>
      </c>
      <c r="X28" s="690" t="s">
        <v>636</v>
      </c>
      <c r="Y28" s="690" t="s">
        <v>636</v>
      </c>
      <c r="Z28" s="691" t="s">
        <v>1585</v>
      </c>
      <c r="AB28" s="2080"/>
      <c r="AC28" s="2080"/>
      <c r="AD28" s="2080"/>
      <c r="AE28" s="2080"/>
      <c r="AF28" s="2080"/>
      <c r="AG28" s="2080"/>
      <c r="AH28" s="2080"/>
      <c r="AI28" s="2080"/>
      <c r="AJ28" s="2080"/>
      <c r="AK28" s="2080"/>
      <c r="AL28" s="2080"/>
      <c r="AM28" s="2080"/>
      <c r="AN28" s="2080"/>
      <c r="AO28" s="2080"/>
      <c r="AP28" s="2080"/>
      <c r="AQ28" s="2080"/>
      <c r="AR28" s="2080"/>
      <c r="AS28" s="2080"/>
    </row>
    <row r="29" spans="1:45" x14ac:dyDescent="0.3">
      <c r="A29" s="692" t="s">
        <v>1321</v>
      </c>
      <c r="B29" s="692"/>
      <c r="C29" s="2090"/>
      <c r="D29" s="2091"/>
      <c r="E29" s="690"/>
      <c r="F29" s="692"/>
      <c r="G29" s="692"/>
      <c r="H29" s="692"/>
      <c r="I29" s="692"/>
      <c r="J29" s="692"/>
      <c r="K29" s="690">
        <v>0.8</v>
      </c>
      <c r="L29" s="692"/>
      <c r="M29" s="692"/>
      <c r="N29" s="1242"/>
      <c r="O29" s="692"/>
      <c r="P29" s="692"/>
      <c r="Q29" s="690"/>
      <c r="R29" s="690"/>
      <c r="S29" s="690"/>
      <c r="T29" s="1247">
        <v>0.97</v>
      </c>
      <c r="U29" s="1247">
        <v>0.98</v>
      </c>
      <c r="AB29" s="693"/>
      <c r="AC29" s="693"/>
      <c r="AD29" s="693"/>
      <c r="AE29" s="693"/>
      <c r="AF29" s="693"/>
      <c r="AG29" s="693"/>
      <c r="AH29" s="693"/>
      <c r="AI29" s="693"/>
      <c r="AJ29" s="693"/>
      <c r="AK29" s="693"/>
      <c r="AL29" s="693"/>
      <c r="AM29" s="693"/>
      <c r="AN29" s="693"/>
      <c r="AO29" s="693"/>
      <c r="AP29" s="693"/>
      <c r="AQ29" s="693"/>
      <c r="AR29" s="693"/>
      <c r="AS29" s="693"/>
    </row>
    <row r="30" spans="1:45" x14ac:dyDescent="0.3">
      <c r="A30" s="694" t="s">
        <v>1349</v>
      </c>
      <c r="B30" s="695" t="s">
        <v>2037</v>
      </c>
      <c r="C30" s="2092" t="s">
        <v>2038</v>
      </c>
      <c r="D30" s="2087"/>
      <c r="E30" s="694">
        <f t="shared" ref="E30:J30" si="8">E19</f>
        <v>140</v>
      </c>
      <c r="F30" s="694" t="str">
        <f t="shared" si="8"/>
        <v>AC</v>
      </c>
      <c r="G30" s="694">
        <f t="shared" si="8"/>
        <v>480</v>
      </c>
      <c r="H30" s="694" t="str">
        <f t="shared" si="8"/>
        <v>3 Fases</v>
      </c>
      <c r="I30" s="694">
        <f t="shared" si="8"/>
        <v>104.44</v>
      </c>
      <c r="J30" s="694" t="str">
        <f t="shared" si="8"/>
        <v>kW</v>
      </c>
      <c r="K30" s="694">
        <f t="shared" ref="K30:P30" si="9">K19</f>
        <v>0.8</v>
      </c>
      <c r="L30" s="694" t="str">
        <f t="shared" si="9"/>
        <v>C</v>
      </c>
      <c r="M30" s="694">
        <f t="shared" si="9"/>
        <v>4</v>
      </c>
      <c r="N30" s="694">
        <f t="shared" si="9"/>
        <v>0.79600000000000004</v>
      </c>
      <c r="O30" s="694">
        <f t="shared" si="9"/>
        <v>0.94099999999999995</v>
      </c>
      <c r="P30" s="694">
        <f t="shared" si="9"/>
        <v>480</v>
      </c>
      <c r="Q30" s="1265">
        <f>Q22</f>
        <v>95.361482474226818</v>
      </c>
      <c r="R30" s="1265">
        <f t="shared" ref="R30:S30" si="10">R22</f>
        <v>67.481089492774743</v>
      </c>
      <c r="S30" s="1265">
        <f t="shared" si="10"/>
        <v>116.82</v>
      </c>
      <c r="T30" s="1247">
        <f t="shared" ref="T30" si="11">+$T$5</f>
        <v>0.97</v>
      </c>
      <c r="U30" s="1247" t="s">
        <v>589</v>
      </c>
      <c r="V30" s="1417">
        <f>'Resumen Perdidas'!D27</f>
        <v>0.49411000000000005</v>
      </c>
      <c r="W30" s="1417">
        <f>'Resumen Perdidas'!D28</f>
        <v>3.45</v>
      </c>
      <c r="X30" s="1248"/>
      <c r="Y30" s="1409">
        <f>SUM(V30:X30)</f>
        <v>3.9441100000000002</v>
      </c>
      <c r="Z30" s="1248">
        <v>0.98893635286829751</v>
      </c>
      <c r="AA30" s="707"/>
      <c r="AB30" s="1413">
        <v>9</v>
      </c>
      <c r="AC30" s="1414">
        <f>+Longitudes!L34/1000</f>
        <v>0</v>
      </c>
      <c r="AD30" s="1408" t="s">
        <v>601</v>
      </c>
      <c r="AE30" s="1408">
        <v>750</v>
      </c>
      <c r="AF30" s="1408">
        <f>+VLOOKUP(AE30,IF(AD30="Cu",'Tablas Cables'!$L$5:$M$25,'Tablas Cables'!$P$5:$Q$25),2,FALSE)</f>
        <v>9.5000000000000001E-2</v>
      </c>
      <c r="AG30" s="1415">
        <v>1</v>
      </c>
      <c r="AH30" s="697">
        <f>+Longitudes!L35/1000</f>
        <v>0</v>
      </c>
      <c r="AI30" s="697" t="s">
        <v>601</v>
      </c>
      <c r="AJ30" s="697" t="s">
        <v>671</v>
      </c>
      <c r="AK30" s="697">
        <f>+VLOOKUP(AJ30,IF(AI30="Cu",'Tablas Cables'!$L$5:$M$25,'Tablas Cables'!$P$5:$Q$25),2,FALSE)</f>
        <v>0.33</v>
      </c>
      <c r="AL30" s="697">
        <v>1</v>
      </c>
      <c r="AM30" s="1416">
        <v>0.01</v>
      </c>
      <c r="AN30" s="694">
        <v>1</v>
      </c>
      <c r="AO30" s="697">
        <v>0</v>
      </c>
      <c r="AP30" s="694" t="s">
        <v>611</v>
      </c>
      <c r="AQ30" s="697" t="s">
        <v>1762</v>
      </c>
      <c r="AR30" s="697" t="s">
        <v>1762</v>
      </c>
      <c r="AS30" s="1282">
        <f>+VLOOKUP(AR30,'Tablas Cables'!$I$32:$O$42,7,FALSE)</f>
        <v>0.52200000000000002</v>
      </c>
    </row>
    <row r="31" spans="1:45" ht="15" customHeight="1" x14ac:dyDescent="0.3">
      <c r="A31" s="694" t="s">
        <v>1597</v>
      </c>
      <c r="B31" s="1253"/>
      <c r="C31" s="2086" t="s">
        <v>1598</v>
      </c>
      <c r="D31" s="2087"/>
      <c r="E31" s="1410"/>
      <c r="F31" s="1293"/>
      <c r="G31" s="1293"/>
      <c r="H31" s="1293"/>
      <c r="I31" s="1279"/>
      <c r="J31" s="715"/>
      <c r="K31" s="1411"/>
      <c r="L31" s="1293"/>
      <c r="M31" s="1293"/>
      <c r="N31" s="1412">
        <f>+ROUND(AVERAGE(N30:N30),2)</f>
        <v>0.8</v>
      </c>
      <c r="O31" s="1293"/>
      <c r="P31" s="1293"/>
      <c r="Q31" s="1265">
        <f>Y30</f>
        <v>3.9441100000000002</v>
      </c>
      <c r="R31" s="1266"/>
      <c r="S31" s="1265">
        <f t="shared" ref="S31" si="12">+ROUND(SQRT(Q31^2+R31^2),2)</f>
        <v>3.94</v>
      </c>
      <c r="T31" s="1247"/>
      <c r="U31" s="1248"/>
      <c r="X31" s="1286"/>
      <c r="Y31" s="1286"/>
      <c r="Z31" s="1287"/>
      <c r="AB31" s="1247"/>
      <c r="AC31" s="1247"/>
      <c r="AD31" s="1247"/>
      <c r="AE31" s="1247"/>
      <c r="AF31" s="1247"/>
      <c r="AG31" s="1263"/>
      <c r="AH31" s="1263"/>
      <c r="AI31" s="1263"/>
      <c r="AJ31" s="1263"/>
      <c r="AK31" s="1263"/>
      <c r="AL31" s="1263"/>
      <c r="AM31" s="1263"/>
      <c r="AN31" s="1247"/>
      <c r="AO31" s="1263"/>
      <c r="AP31" s="1247"/>
      <c r="AQ31" s="1263"/>
      <c r="AR31" s="1263"/>
      <c r="AS31" s="1263"/>
    </row>
    <row r="32" spans="1:45" x14ac:dyDescent="0.3">
      <c r="A32" s="698"/>
      <c r="B32" s="699"/>
      <c r="C32" s="1201"/>
      <c r="D32" s="1202"/>
      <c r="E32" s="1293"/>
      <c r="F32" s="700"/>
      <c r="G32" s="700"/>
      <c r="H32" s="700"/>
      <c r="J32" s="701"/>
      <c r="K32" s="701"/>
      <c r="L32" s="702"/>
      <c r="M32" s="699"/>
      <c r="N32" s="1243"/>
      <c r="O32" s="699"/>
      <c r="P32" s="699"/>
      <c r="Q32" s="1277"/>
      <c r="R32" s="1277"/>
      <c r="S32" s="1278"/>
      <c r="T32" s="703"/>
      <c r="U32" s="1283"/>
    </row>
    <row r="33" spans="1:45" x14ac:dyDescent="0.3">
      <c r="A33" s="2081" t="s">
        <v>1599</v>
      </c>
      <c r="B33" s="2081"/>
      <c r="C33" s="2082"/>
      <c r="D33" s="2083"/>
      <c r="E33" s="690"/>
      <c r="F33" s="704"/>
      <c r="G33" s="704"/>
      <c r="H33" s="704"/>
      <c r="I33" s="705"/>
      <c r="J33" s="704"/>
      <c r="K33" s="704"/>
      <c r="L33" s="704"/>
      <c r="M33" s="704"/>
      <c r="N33" s="1239"/>
      <c r="O33" s="704"/>
      <c r="P33" s="704"/>
      <c r="Q33" s="1267">
        <f>SUM(Q30:Q32)</f>
        <v>99.305592474226813</v>
      </c>
      <c r="R33" s="1268">
        <f>SUM(R30:R32)</f>
        <v>67.481089492774743</v>
      </c>
      <c r="S33" s="1269">
        <f>+ROUND(SQRT(Q33^2+R33^2),2)</f>
        <v>120.06</v>
      </c>
    </row>
    <row r="34" spans="1:45" x14ac:dyDescent="0.3">
      <c r="A34" s="2081" t="s">
        <v>1600</v>
      </c>
      <c r="B34" s="2081"/>
      <c r="C34" s="2082"/>
      <c r="D34" s="2083"/>
      <c r="E34" s="690"/>
      <c r="F34" s="704"/>
      <c r="G34" s="704"/>
      <c r="H34" s="704"/>
      <c r="I34" s="705"/>
      <c r="J34" s="704"/>
      <c r="K34" s="704"/>
      <c r="L34" s="704"/>
      <c r="M34" s="704"/>
      <c r="N34" s="1239"/>
      <c r="O34" s="704"/>
      <c r="P34" s="704"/>
      <c r="Q34" s="1270"/>
      <c r="R34" s="1270"/>
      <c r="S34" s="1270">
        <f>Q33/S33</f>
        <v>0.82713303743317346</v>
      </c>
      <c r="U34" s="707"/>
      <c r="V34" s="1264"/>
      <c r="W34" s="1264"/>
    </row>
    <row r="35" spans="1:45" x14ac:dyDescent="0.3">
      <c r="A35" s="2096" t="s">
        <v>1601</v>
      </c>
      <c r="B35" s="2096"/>
      <c r="C35" s="2096"/>
      <c r="D35" s="2096"/>
      <c r="E35" s="1291"/>
      <c r="F35" s="708"/>
      <c r="G35" s="708"/>
      <c r="H35" s="708"/>
      <c r="I35" s="709"/>
      <c r="J35" s="708"/>
      <c r="K35" s="708"/>
      <c r="L35" s="708"/>
      <c r="M35" s="708"/>
      <c r="N35" s="1244"/>
      <c r="O35" s="708"/>
      <c r="P35" s="708"/>
      <c r="Q35" s="1271"/>
      <c r="R35" s="1271"/>
      <c r="S35" s="1272"/>
      <c r="U35" s="707"/>
      <c r="W35" s="1247" t="s">
        <v>1602</v>
      </c>
      <c r="Z35" s="685" t="s">
        <v>1603</v>
      </c>
      <c r="AG35"/>
    </row>
    <row r="36" spans="1:45" s="685" customFormat="1" ht="15" customHeight="1" x14ac:dyDescent="0.25">
      <c r="A36" s="708"/>
      <c r="B36" s="708"/>
      <c r="C36" s="708"/>
      <c r="D36" s="708"/>
      <c r="E36" s="1291"/>
      <c r="F36" s="708"/>
      <c r="G36" s="708"/>
      <c r="H36" s="708"/>
      <c r="I36" s="709"/>
      <c r="J36" s="708"/>
      <c r="K36" s="708"/>
      <c r="L36" s="708"/>
      <c r="M36" s="708"/>
      <c r="N36" s="1244"/>
      <c r="O36" s="708"/>
      <c r="P36" s="708"/>
      <c r="Q36" s="1271"/>
      <c r="R36" s="1271"/>
      <c r="S36" s="1276"/>
      <c r="V36" s="1247"/>
      <c r="W36" s="1247"/>
      <c r="X36" s="1247"/>
      <c r="Y36" s="1247"/>
      <c r="Z36" s="1247"/>
    </row>
    <row r="37" spans="1:45" s="685" customFormat="1" ht="12" x14ac:dyDescent="0.25">
      <c r="A37" s="712" t="s">
        <v>293</v>
      </c>
      <c r="B37" s="713"/>
      <c r="C37" s="714"/>
      <c r="D37" s="714"/>
      <c r="E37" s="1292"/>
      <c r="F37" s="714"/>
      <c r="G37" s="714"/>
      <c r="H37" s="714"/>
      <c r="I37" s="715"/>
      <c r="J37" s="714"/>
      <c r="K37" s="714"/>
      <c r="L37" s="714"/>
      <c r="M37" s="714"/>
      <c r="N37" s="1245"/>
      <c r="O37" s="714"/>
      <c r="P37" s="714"/>
      <c r="Q37" s="1285"/>
      <c r="R37" s="1271"/>
      <c r="S37" s="1271"/>
      <c r="V37" s="1247"/>
      <c r="W37" s="1247"/>
      <c r="X37" s="1247"/>
      <c r="Y37" s="1247"/>
      <c r="Z37" s="1247"/>
      <c r="AA37" s="1254"/>
    </row>
    <row r="38" spans="1:45" s="685" customFormat="1" ht="12" x14ac:dyDescent="0.25">
      <c r="A38" s="2097" t="s">
        <v>1604</v>
      </c>
      <c r="B38" s="2098"/>
      <c r="C38" s="716" t="s">
        <v>1605</v>
      </c>
      <c r="D38" s="717" t="s">
        <v>1606</v>
      </c>
      <c r="E38" s="1294" t="s">
        <v>1607</v>
      </c>
      <c r="F38" s="717" t="s">
        <v>1608</v>
      </c>
      <c r="G38" s="717"/>
      <c r="H38" s="716" t="s">
        <v>1609</v>
      </c>
      <c r="I38" s="685" t="s">
        <v>1610</v>
      </c>
      <c r="J38" s="718" t="s">
        <v>1611</v>
      </c>
      <c r="M38" s="1255" t="s">
        <v>1612</v>
      </c>
      <c r="O38" s="1255" t="s">
        <v>1613</v>
      </c>
      <c r="Q38" s="1247"/>
      <c r="R38" s="1247"/>
      <c r="S38" s="1247"/>
      <c r="V38" s="1247"/>
      <c r="W38" s="1247"/>
      <c r="X38" s="1247"/>
      <c r="Y38" s="1247"/>
      <c r="Z38" s="1247"/>
    </row>
    <row r="39" spans="1:45" s="685" customFormat="1" ht="20.100000000000001" customHeight="1" x14ac:dyDescent="0.25">
      <c r="A39" s="719" t="s">
        <v>1614</v>
      </c>
      <c r="C39" s="720" t="s">
        <v>1615</v>
      </c>
      <c r="D39" s="685" t="s">
        <v>1616</v>
      </c>
      <c r="E39" s="1291" t="s">
        <v>1617</v>
      </c>
      <c r="F39" s="685" t="s">
        <v>1618</v>
      </c>
      <c r="H39" s="720" t="s">
        <v>1619</v>
      </c>
      <c r="I39" s="685" t="s">
        <v>1620</v>
      </c>
      <c r="J39" s="720" t="s">
        <v>1621</v>
      </c>
      <c r="K39" s="719"/>
      <c r="M39" s="1256" t="s">
        <v>1622</v>
      </c>
      <c r="N39" s="1297" t="s">
        <v>1623</v>
      </c>
      <c r="O39" s="1297" t="s">
        <v>1624</v>
      </c>
      <c r="Q39" s="1247"/>
      <c r="R39" s="1247"/>
      <c r="S39" s="1247"/>
      <c r="V39" s="1247"/>
      <c r="W39" s="1247"/>
      <c r="X39" s="1247"/>
      <c r="Y39" s="1247"/>
      <c r="Z39" s="1247"/>
    </row>
    <row r="40" spans="1:45" s="685" customFormat="1" ht="12" x14ac:dyDescent="0.25">
      <c r="A40" s="698" t="s">
        <v>1625</v>
      </c>
      <c r="B40" s="699"/>
      <c r="C40" s="721" t="s">
        <v>584</v>
      </c>
      <c r="D40" s="699" t="s">
        <v>1626</v>
      </c>
      <c r="E40" s="1292" t="s">
        <v>1627</v>
      </c>
      <c r="F40" s="699" t="s">
        <v>1628</v>
      </c>
      <c r="G40" s="699"/>
      <c r="H40" s="721" t="s">
        <v>1629</v>
      </c>
      <c r="I40" s="699"/>
      <c r="J40" s="722"/>
      <c r="M40" s="1257">
        <v>112.5</v>
      </c>
      <c r="N40" s="1263" t="s">
        <v>1630</v>
      </c>
      <c r="O40" s="1257">
        <v>1200</v>
      </c>
      <c r="Q40" s="1247"/>
      <c r="R40" s="1247"/>
      <c r="S40" s="1247"/>
      <c r="V40" s="1247"/>
      <c r="W40" s="1247"/>
      <c r="X40" s="1247"/>
      <c r="Y40" s="1247"/>
      <c r="Z40" s="1247"/>
    </row>
    <row r="41" spans="1:45" x14ac:dyDescent="0.3">
      <c r="M41" s="1257">
        <v>225</v>
      </c>
      <c r="N41" s="1263" t="s">
        <v>1631</v>
      </c>
      <c r="O41" s="1257">
        <v>2500</v>
      </c>
      <c r="R41" s="1279"/>
      <c r="AD41" s="686"/>
      <c r="AE41" s="686"/>
      <c r="AF41" s="686"/>
      <c r="AJ41" s="686"/>
      <c r="AK41" s="686"/>
      <c r="AQ41" s="686"/>
      <c r="AR41" s="686"/>
      <c r="AS41" s="686"/>
    </row>
    <row r="42" spans="1:45" s="685" customFormat="1" ht="12" x14ac:dyDescent="0.25">
      <c r="A42" s="2095" t="s">
        <v>1632</v>
      </c>
      <c r="B42" s="2095"/>
      <c r="C42" s="2095"/>
      <c r="D42" s="2095"/>
      <c r="E42" s="690"/>
      <c r="F42" s="704"/>
      <c r="G42" s="705"/>
      <c r="H42" s="704"/>
      <c r="I42" s="704"/>
      <c r="J42" s="710">
        <f>+SUM(Q10)</f>
        <v>92.639442474226811</v>
      </c>
      <c r="M42" s="1257">
        <v>300</v>
      </c>
      <c r="N42" s="1263" t="s">
        <v>1633</v>
      </c>
      <c r="O42" s="1257">
        <v>3000</v>
      </c>
      <c r="Q42" s="1247"/>
      <c r="R42" s="1247"/>
      <c r="S42" s="1247"/>
      <c r="V42" s="1247"/>
      <c r="W42" s="1247"/>
      <c r="X42" s="1247"/>
      <c r="Y42" s="1247"/>
      <c r="Z42" s="1247"/>
    </row>
    <row r="43" spans="1:45" s="685" customFormat="1" ht="12" x14ac:dyDescent="0.25">
      <c r="A43" s="2095" t="s">
        <v>1634</v>
      </c>
      <c r="B43" s="2095"/>
      <c r="C43" s="2095"/>
      <c r="D43" s="2095"/>
      <c r="E43" s="690"/>
      <c r="F43" s="704"/>
      <c r="G43" s="705"/>
      <c r="H43" s="704"/>
      <c r="I43" s="704"/>
      <c r="J43" s="706">
        <f>+J42/0.7</f>
        <v>132.34206067746689</v>
      </c>
      <c r="M43" s="1257">
        <v>400</v>
      </c>
      <c r="N43" s="1263" t="s">
        <v>1635</v>
      </c>
      <c r="O43" s="1257">
        <v>4000</v>
      </c>
      <c r="Q43" s="1247"/>
      <c r="R43" s="1247"/>
      <c r="S43" s="1247"/>
      <c r="V43" s="1247"/>
      <c r="W43" s="1247"/>
      <c r="X43" s="1247"/>
      <c r="Y43" s="1247"/>
      <c r="Z43" s="1247"/>
    </row>
    <row r="44" spans="1:45" s="685" customFormat="1" ht="13.2" x14ac:dyDescent="0.25">
      <c r="A44" s="2095" t="s">
        <v>1636</v>
      </c>
      <c r="B44" s="2095"/>
      <c r="C44" s="2095"/>
      <c r="D44" s="2095"/>
      <c r="E44" s="690"/>
      <c r="F44" s="704"/>
      <c r="G44" s="705"/>
      <c r="H44" s="704"/>
      <c r="I44" s="704"/>
      <c r="J44" s="706" t="e">
        <f>+#REF!</f>
        <v>#REF!</v>
      </c>
      <c r="M44" s="1257">
        <v>500</v>
      </c>
      <c r="N44" s="1263" t="s">
        <v>1635</v>
      </c>
      <c r="O44"/>
      <c r="P44"/>
      <c r="Q44"/>
      <c r="R44"/>
      <c r="S44"/>
      <c r="T44"/>
      <c r="U44"/>
      <c r="V44"/>
      <c r="W44"/>
      <c r="X44"/>
      <c r="Y44"/>
      <c r="Z44" s="1247"/>
    </row>
    <row r="45" spans="1:45" s="685" customFormat="1" ht="13.2" x14ac:dyDescent="0.25">
      <c r="A45" s="2095" t="s">
        <v>1637</v>
      </c>
      <c r="B45" s="2095"/>
      <c r="C45" s="2095"/>
      <c r="D45" s="2095"/>
      <c r="E45" s="690"/>
      <c r="F45" s="704"/>
      <c r="G45" s="705"/>
      <c r="H45" s="704"/>
      <c r="I45" s="704"/>
      <c r="J45" s="711" t="e">
        <f>+J42/J44</f>
        <v>#REF!</v>
      </c>
      <c r="M45" s="1257">
        <v>750</v>
      </c>
      <c r="N45" s="1263" t="s">
        <v>1638</v>
      </c>
      <c r="O45"/>
      <c r="P45"/>
      <c r="Q45"/>
      <c r="R45"/>
      <c r="S45"/>
      <c r="T45"/>
      <c r="U45"/>
      <c r="V45"/>
      <c r="W45"/>
      <c r="X45"/>
      <c r="Y45"/>
      <c r="Z45" s="1247"/>
    </row>
    <row r="46" spans="1:45" s="685" customFormat="1" ht="13.2" x14ac:dyDescent="0.25">
      <c r="A46" s="708"/>
      <c r="B46" s="708"/>
      <c r="C46" s="708"/>
      <c r="D46" s="708"/>
      <c r="E46" s="1291"/>
      <c r="F46" s="708"/>
      <c r="G46" s="709"/>
      <c r="H46" s="708"/>
      <c r="I46" s="708"/>
      <c r="M46" s="1257">
        <v>1000</v>
      </c>
      <c r="N46" s="1263" t="s">
        <v>1638</v>
      </c>
      <c r="O46"/>
      <c r="P46"/>
      <c r="Q46"/>
      <c r="R46"/>
      <c r="S46"/>
      <c r="T46"/>
      <c r="U46"/>
      <c r="V46"/>
      <c r="W46"/>
      <c r="X46"/>
      <c r="Y46"/>
      <c r="Z46" s="1247"/>
    </row>
    <row r="47" spans="1:45" x14ac:dyDescent="0.3">
      <c r="M47" s="1257">
        <v>1200</v>
      </c>
      <c r="N47" s="1330" t="s">
        <v>1639</v>
      </c>
      <c r="O47"/>
      <c r="P47"/>
      <c r="Q47"/>
      <c r="R47"/>
      <c r="S47"/>
      <c r="T47"/>
      <c r="U47"/>
      <c r="V47"/>
      <c r="W47"/>
      <c r="X47"/>
      <c r="Y47"/>
      <c r="AD47" s="686"/>
      <c r="AE47" s="686"/>
      <c r="AF47" s="686"/>
      <c r="AJ47" s="686"/>
      <c r="AK47" s="686"/>
      <c r="AQ47" s="686"/>
      <c r="AR47" s="686"/>
      <c r="AS47" s="686"/>
    </row>
    <row r="48" spans="1:45" x14ac:dyDescent="0.3">
      <c r="M48" s="1257">
        <v>1500</v>
      </c>
      <c r="N48" s="1330" t="s">
        <v>1639</v>
      </c>
      <c r="O48"/>
      <c r="P48"/>
      <c r="Q48"/>
      <c r="R48"/>
      <c r="S48"/>
      <c r="T48"/>
      <c r="U48"/>
      <c r="V48"/>
      <c r="W48"/>
      <c r="X48"/>
      <c r="Y48"/>
      <c r="Z48" s="1247">
        <v>2500</v>
      </c>
      <c r="AD48" s="686"/>
      <c r="AE48" s="686"/>
      <c r="AF48" s="686"/>
      <c r="AJ48" s="686"/>
      <c r="AK48" s="686"/>
      <c r="AQ48" s="686"/>
      <c r="AR48" s="686"/>
      <c r="AS48" s="686"/>
    </row>
    <row r="49" spans="1:45" s="685" customFormat="1" ht="13.2" x14ac:dyDescent="0.25">
      <c r="A49" s="1237" t="s">
        <v>1640</v>
      </c>
      <c r="B49" s="1238"/>
      <c r="C49" s="1238"/>
      <c r="D49" s="1238"/>
      <c r="E49" s="1261"/>
      <c r="F49" s="1238"/>
      <c r="G49" s="1238"/>
      <c r="H49" s="1238"/>
      <c r="I49" s="1238"/>
      <c r="J49" s="723" t="e">
        <f>ROUND(((J44*1000)/ROUND((SQRT(3)*480*0.8),0)),0)</f>
        <v>#REF!</v>
      </c>
      <c r="M49" s="1257">
        <v>2000</v>
      </c>
      <c r="N49" s="1263" t="s">
        <v>1641</v>
      </c>
      <c r="O49"/>
      <c r="P49"/>
      <c r="Q49"/>
      <c r="R49"/>
      <c r="S49"/>
      <c r="T49"/>
      <c r="U49"/>
      <c r="V49"/>
      <c r="W49"/>
      <c r="X49"/>
      <c r="Y49"/>
      <c r="Z49" s="1247"/>
    </row>
    <row r="50" spans="1:45" s="685" customFormat="1" ht="13.2" x14ac:dyDescent="0.25">
      <c r="A50" s="1237" t="s">
        <v>1368</v>
      </c>
      <c r="B50" s="1238"/>
      <c r="C50" s="1238"/>
      <c r="D50" s="1238"/>
      <c r="E50" s="1261"/>
      <c r="F50" s="1238"/>
      <c r="G50" s="1238"/>
      <c r="H50" s="1238"/>
      <c r="I50" s="1238"/>
      <c r="J50" s="724" t="e">
        <f>#REF!/(0.48*SQRT(3))</f>
        <v>#REF!</v>
      </c>
      <c r="M50" s="1257">
        <v>2500</v>
      </c>
      <c r="N50" s="1263" t="s">
        <v>1642</v>
      </c>
      <c r="O50"/>
      <c r="P50"/>
      <c r="Q50"/>
      <c r="R50"/>
      <c r="S50"/>
      <c r="T50"/>
      <c r="U50"/>
      <c r="V50"/>
      <c r="W50"/>
      <c r="X50"/>
      <c r="Y50"/>
      <c r="Z50" s="1247"/>
    </row>
    <row r="51" spans="1:45" s="685" customFormat="1" ht="12" x14ac:dyDescent="0.25">
      <c r="A51" s="1237" t="s">
        <v>1333</v>
      </c>
      <c r="B51" s="1238"/>
      <c r="C51" s="1238"/>
      <c r="D51" s="1238"/>
      <c r="E51" s="1261"/>
      <c r="F51" s="1238"/>
      <c r="G51" s="1238"/>
      <c r="H51" s="1238"/>
      <c r="I51" s="1238"/>
      <c r="J51" s="724" t="e">
        <f>J50*1.25</f>
        <v>#REF!</v>
      </c>
      <c r="Q51" s="1247"/>
      <c r="R51" s="1247"/>
      <c r="S51" s="1247"/>
      <c r="V51" s="1247"/>
      <c r="W51" s="1247"/>
      <c r="X51" s="1247"/>
      <c r="Y51" s="1247"/>
      <c r="Z51" s="1247"/>
    </row>
    <row r="52" spans="1:45" s="685" customFormat="1" ht="12" x14ac:dyDescent="0.25">
      <c r="A52" s="1237" t="s">
        <v>1643</v>
      </c>
      <c r="B52" s="1238"/>
      <c r="C52" s="1238"/>
      <c r="D52" s="1238"/>
      <c r="E52" s="1261"/>
      <c r="F52" s="1238"/>
      <c r="G52" s="1238"/>
      <c r="H52" s="1238"/>
      <c r="I52" s="1238"/>
      <c r="J52" s="724" t="e" cm="1">
        <f t="array" ref="J52">+MIN(IF($O$40:$O$43&gt;=$J$51-8,$O$40:$O$43))</f>
        <v>#REF!</v>
      </c>
      <c r="Q52" s="694"/>
      <c r="R52" s="694" t="s">
        <v>1644</v>
      </c>
      <c r="S52" s="1296" t="s">
        <v>1645</v>
      </c>
      <c r="V52" s="1247"/>
      <c r="W52" s="1247"/>
      <c r="X52" s="1247"/>
      <c r="Y52" s="1247"/>
      <c r="Z52" s="1247"/>
    </row>
    <row r="53" spans="1:45" ht="24" x14ac:dyDescent="0.3">
      <c r="Q53" s="1296" t="s">
        <v>1646</v>
      </c>
      <c r="R53" s="1257">
        <v>2000</v>
      </c>
      <c r="S53" s="696">
        <v>3100</v>
      </c>
      <c r="AE53" s="686"/>
      <c r="AF53" s="686"/>
      <c r="AS53" s="686"/>
    </row>
    <row r="54" spans="1:45" x14ac:dyDescent="0.3">
      <c r="Q54" s="694" t="s">
        <v>1647</v>
      </c>
      <c r="R54" s="1257">
        <v>2500</v>
      </c>
      <c r="S54" s="696">
        <v>3000</v>
      </c>
    </row>
    <row r="60" spans="1:45" x14ac:dyDescent="0.3">
      <c r="I60"/>
      <c r="J60"/>
      <c r="K60"/>
      <c r="L60"/>
      <c r="M60"/>
    </row>
    <row r="61" spans="1:45" x14ac:dyDescent="0.3">
      <c r="I61"/>
      <c r="J61"/>
      <c r="K61"/>
      <c r="L61"/>
      <c r="M61"/>
    </row>
    <row r="62" spans="1:45" x14ac:dyDescent="0.3">
      <c r="I62"/>
      <c r="J62"/>
      <c r="K62"/>
      <c r="L62"/>
      <c r="M62"/>
    </row>
    <row r="63" spans="1:45" x14ac:dyDescent="0.3">
      <c r="I63"/>
      <c r="J63"/>
      <c r="K63"/>
      <c r="L63"/>
      <c r="M63"/>
    </row>
    <row r="64" spans="1:45" x14ac:dyDescent="0.3">
      <c r="I64"/>
      <c r="J64"/>
      <c r="K64"/>
      <c r="L64"/>
      <c r="M64"/>
    </row>
    <row r="65" spans="9:13" x14ac:dyDescent="0.3">
      <c r="I65"/>
      <c r="J65"/>
      <c r="K65"/>
      <c r="L65"/>
      <c r="M65"/>
    </row>
    <row r="66" spans="9:13" x14ac:dyDescent="0.3">
      <c r="I66"/>
      <c r="J66"/>
      <c r="K66"/>
      <c r="L66"/>
      <c r="M66"/>
    </row>
    <row r="67" spans="9:13" x14ac:dyDescent="0.3">
      <c r="I67"/>
      <c r="J67"/>
      <c r="K67"/>
      <c r="L67"/>
      <c r="M67"/>
    </row>
    <row r="68" spans="9:13" x14ac:dyDescent="0.3">
      <c r="I68"/>
      <c r="J68"/>
      <c r="K68"/>
      <c r="L68"/>
      <c r="M68"/>
    </row>
    <row r="69" spans="9:13" x14ac:dyDescent="0.3">
      <c r="I69"/>
      <c r="J69"/>
      <c r="K69"/>
      <c r="L69"/>
      <c r="M69"/>
    </row>
    <row r="70" spans="9:13" x14ac:dyDescent="0.3">
      <c r="I70"/>
      <c r="J70"/>
      <c r="K70"/>
      <c r="L70"/>
      <c r="M70"/>
    </row>
    <row r="71" spans="9:13" x14ac:dyDescent="0.3">
      <c r="I71"/>
      <c r="J71"/>
      <c r="K71"/>
      <c r="L71"/>
      <c r="M71"/>
    </row>
    <row r="72" spans="9:13" x14ac:dyDescent="0.3">
      <c r="I72"/>
      <c r="J72"/>
      <c r="K72"/>
      <c r="L72"/>
      <c r="M72"/>
    </row>
    <row r="73" spans="9:13" x14ac:dyDescent="0.3">
      <c r="I73"/>
      <c r="J73"/>
      <c r="K73"/>
      <c r="L73"/>
      <c r="M73"/>
    </row>
    <row r="74" spans="9:13" x14ac:dyDescent="0.3">
      <c r="I74"/>
      <c r="J74"/>
      <c r="K74"/>
      <c r="L74"/>
      <c r="M74"/>
    </row>
    <row r="75" spans="9:13" x14ac:dyDescent="0.3">
      <c r="I75"/>
      <c r="J75"/>
      <c r="K75"/>
      <c r="L75"/>
      <c r="M75"/>
    </row>
    <row r="76" spans="9:13" x14ac:dyDescent="0.3">
      <c r="I76"/>
      <c r="J76"/>
      <c r="K76"/>
      <c r="L76"/>
      <c r="M76"/>
    </row>
  </sheetData>
  <sheetProtection selectLockedCells="1" selectUnlockedCells="1"/>
  <mergeCells count="116">
    <mergeCell ref="AO26:AO28"/>
    <mergeCell ref="AP26:AP28"/>
    <mergeCell ref="AQ26:AQ28"/>
    <mergeCell ref="AR26:AR28"/>
    <mergeCell ref="AS26:AS28"/>
    <mergeCell ref="A27:A28"/>
    <mergeCell ref="B27:B28"/>
    <mergeCell ref="C27:D28"/>
    <mergeCell ref="E27:E28"/>
    <mergeCell ref="F27:H27"/>
    <mergeCell ref="I27:J27"/>
    <mergeCell ref="AF26:AF28"/>
    <mergeCell ref="AG26:AG28"/>
    <mergeCell ref="AH26:AH28"/>
    <mergeCell ref="AI26:AI28"/>
    <mergeCell ref="AJ26:AJ28"/>
    <mergeCell ref="AK26:AK28"/>
    <mergeCell ref="AL26:AL28"/>
    <mergeCell ref="AM26:AM28"/>
    <mergeCell ref="AN26:AN28"/>
    <mergeCell ref="AD26:AD28"/>
    <mergeCell ref="AE26:AE28"/>
    <mergeCell ref="Q27:S27"/>
    <mergeCell ref="N26:O26"/>
    <mergeCell ref="Q26:S26"/>
    <mergeCell ref="AB26:AB28"/>
    <mergeCell ref="E16:E17"/>
    <mergeCell ref="F16:H16"/>
    <mergeCell ref="I16:J16"/>
    <mergeCell ref="Q16:S16"/>
    <mergeCell ref="C18:D18"/>
    <mergeCell ref="AC26:AC28"/>
    <mergeCell ref="AE15:AE17"/>
    <mergeCell ref="AF15:AF17"/>
    <mergeCell ref="C19:D19"/>
    <mergeCell ref="AO15:AO17"/>
    <mergeCell ref="AG15:AG17"/>
    <mergeCell ref="AH15:AH17"/>
    <mergeCell ref="AI15:AI17"/>
    <mergeCell ref="N15:O15"/>
    <mergeCell ref="Q15:S15"/>
    <mergeCell ref="AB15:AB17"/>
    <mergeCell ref="AC15:AC17"/>
    <mergeCell ref="AD15:AD17"/>
    <mergeCell ref="AP15:AP17"/>
    <mergeCell ref="AQ15:AQ17"/>
    <mergeCell ref="AR15:AR17"/>
    <mergeCell ref="AS15:AS17"/>
    <mergeCell ref="AJ15:AJ17"/>
    <mergeCell ref="AK15:AK17"/>
    <mergeCell ref="AL15:AL17"/>
    <mergeCell ref="AM15:AM17"/>
    <mergeCell ref="AN15:AN17"/>
    <mergeCell ref="AH2:AH4"/>
    <mergeCell ref="AI2:AI4"/>
    <mergeCell ref="Q2:S2"/>
    <mergeCell ref="AG2:AG4"/>
    <mergeCell ref="AB2:AB4"/>
    <mergeCell ref="AB6:AB7"/>
    <mergeCell ref="AC6:AC7"/>
    <mergeCell ref="F3:H3"/>
    <mergeCell ref="I3:J3"/>
    <mergeCell ref="Q3:S3"/>
    <mergeCell ref="AC2:AC4"/>
    <mergeCell ref="A43:D43"/>
    <mergeCell ref="A44:D44"/>
    <mergeCell ref="A45:D45"/>
    <mergeCell ref="A12:D12"/>
    <mergeCell ref="A38:B38"/>
    <mergeCell ref="A42:D42"/>
    <mergeCell ref="A16:A17"/>
    <mergeCell ref="B16:B17"/>
    <mergeCell ref="C16:D17"/>
    <mergeCell ref="C20:D20"/>
    <mergeCell ref="C29:D29"/>
    <mergeCell ref="A33:B33"/>
    <mergeCell ref="A34:B34"/>
    <mergeCell ref="A35:D35"/>
    <mergeCell ref="C30:D30"/>
    <mergeCell ref="C34:D34"/>
    <mergeCell ref="C33:D33"/>
    <mergeCell ref="C31:D31"/>
    <mergeCell ref="A24:D24"/>
    <mergeCell ref="A22:B22"/>
    <mergeCell ref="C22:D22"/>
    <mergeCell ref="A23:B23"/>
    <mergeCell ref="C23:D23"/>
    <mergeCell ref="A11:B11"/>
    <mergeCell ref="C11:D11"/>
    <mergeCell ref="AD2:AD4"/>
    <mergeCell ref="AF2:AF4"/>
    <mergeCell ref="N2:O2"/>
    <mergeCell ref="AE2:AE4"/>
    <mergeCell ref="C8:D8"/>
    <mergeCell ref="A10:B10"/>
    <mergeCell ref="C10:D10"/>
    <mergeCell ref="AD6:AD7"/>
    <mergeCell ref="AE6:AE7"/>
    <mergeCell ref="AF6:AF7"/>
    <mergeCell ref="C5:D5"/>
    <mergeCell ref="C6:D6"/>
    <mergeCell ref="A3:A4"/>
    <mergeCell ref="B3:B4"/>
    <mergeCell ref="C3:D4"/>
    <mergeCell ref="C7:D7"/>
    <mergeCell ref="E3:E4"/>
    <mergeCell ref="AS2:AS4"/>
    <mergeCell ref="AP2:AP4"/>
    <mergeCell ref="AJ2:AJ4"/>
    <mergeCell ref="AQ2:AQ4"/>
    <mergeCell ref="AR2:AR4"/>
    <mergeCell ref="AN2:AN4"/>
    <mergeCell ref="AM2:AM4"/>
    <mergeCell ref="AO2:AO4"/>
    <mergeCell ref="AK2:AK4"/>
    <mergeCell ref="AL2:AL4"/>
  </mergeCells>
  <phoneticPr fontId="20" type="noConversion"/>
  <dataValidations disablePrompts="1" count="3">
    <dataValidation type="list" allowBlank="1" showInputMessage="1" showErrorMessage="1" sqref="M8 M20 M31" xr:uid="{FE456729-3476-4DFF-B432-D44A92E2328E}">
      <formula1>"1,2,3,N/A"</formula1>
    </dataValidation>
    <dataValidation type="list" allowBlank="1" showInputMessage="1" showErrorMessage="1" sqref="M6:M7" xr:uid="{6D4D3D00-181A-46E9-84FE-E643305CC48B}">
      <formula1>"1,2,3,4,5,6,7,8,9,N/A"</formula1>
    </dataValidation>
    <dataValidation allowBlank="1" showInputMessage="1" showErrorMessage="1" sqref="C6:C9 C19:C21 C30:C32" xr:uid="{762987F2-602F-4CD3-BC0F-4432C2D3D7A6}"/>
  </dataValidations>
  <pageMargins left="0.70866141732283472" right="0.70866141732283472" top="0.74803149606299213" bottom="0.74803149606299213" header="0.31496062992125984" footer="0.31496062992125984"/>
  <pageSetup orientation="landscape" r:id="rId1"/>
  <headerFooter>
    <oddFooter>&amp;F</oddFooter>
  </headerFooter>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5665135-3640-4A0E-A284-AA068D1F158C}">
          <x14:formula1>
            <xm:f>'Tablas Cables'!$I$32:$I$42</xm:f>
          </x14:formula1>
          <xm:sqref>AQ6:AR7 AQ19:AR19 AQ30:AR30</xm:sqref>
        </x14:dataValidation>
        <x14:dataValidation type="list" allowBlank="1" showInputMessage="1" showErrorMessage="1" xr:uid="{F1C3B4E5-7ACC-4B1D-9BCB-15E7A4CF70F6}">
          <x14:formula1>
            <xm:f>'Tablas Cables'!$P$9:$P$25</xm:f>
          </x14:formula1>
          <xm:sqref>AE6:AE7 AJ6:AJ7 AE19 AJ19 AE30 AJ30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F60F8-DD88-4799-9981-DDAC8ADC815E}">
  <dimension ref="A5:S142"/>
  <sheetViews>
    <sheetView zoomScale="85" zoomScaleNormal="85" workbookViewId="0">
      <pane xSplit="3" ySplit="5" topLeftCell="D6" activePane="bottomRight" state="frozen"/>
      <selection activeCell="C17" sqref="C17"/>
      <selection pane="topRight" activeCell="C17" sqref="C17"/>
      <selection pane="bottomLeft" activeCell="C17" sqref="C17"/>
      <selection pane="bottomRight" activeCell="O38" sqref="O38"/>
    </sheetView>
  </sheetViews>
  <sheetFormatPr baseColWidth="10" defaultColWidth="8.88671875" defaultRowHeight="14.4" x14ac:dyDescent="0.3"/>
  <cols>
    <col min="1" max="1" width="9.44140625" style="54" customWidth="1"/>
    <col min="2" max="2" width="27.88671875" style="1300" customWidth="1"/>
    <col min="3" max="3" width="29.109375" style="1300" customWidth="1"/>
    <col min="4" max="4" width="12.88671875" style="1301" customWidth="1"/>
    <col min="5" max="5" width="13.44140625" style="1301" customWidth="1"/>
    <col min="6" max="6" width="14.44140625" style="1301" customWidth="1"/>
    <col min="7" max="7" width="8.88671875" style="1301"/>
    <col min="8" max="8" width="12.109375" style="1301" customWidth="1"/>
    <col min="9" max="9" width="9.109375" style="1301" customWidth="1"/>
    <col min="10" max="10" width="14.88671875" style="1301" customWidth="1"/>
    <col min="11" max="11" width="8.88671875" style="1301"/>
    <col min="12" max="12" width="9.109375" style="1301" customWidth="1"/>
    <col min="14" max="14" width="16.109375" customWidth="1"/>
    <col min="20" max="20" width="13.44140625" bestFit="1" customWidth="1"/>
    <col min="21" max="21" width="15.44140625" customWidth="1"/>
  </cols>
  <sheetData>
    <row r="5" spans="1:14" ht="57.6" x14ac:dyDescent="0.25">
      <c r="A5" s="77" t="s">
        <v>1408</v>
      </c>
      <c r="B5" s="1379" t="s">
        <v>1409</v>
      </c>
      <c r="C5" s="1379" t="s">
        <v>1410</v>
      </c>
      <c r="D5" s="1380" t="s">
        <v>1411</v>
      </c>
      <c r="E5" s="1380" t="s">
        <v>1412</v>
      </c>
      <c r="F5" s="1380" t="s">
        <v>1413</v>
      </c>
      <c r="G5" s="1380" t="s">
        <v>1414</v>
      </c>
      <c r="H5" s="1380" t="s">
        <v>1415</v>
      </c>
      <c r="I5" s="1380" t="s">
        <v>1416</v>
      </c>
      <c r="J5" s="1380" t="s">
        <v>1417</v>
      </c>
      <c r="K5" s="1380" t="s">
        <v>1418</v>
      </c>
      <c r="L5" s="1379" t="s">
        <v>1419</v>
      </c>
      <c r="N5" s="1380" t="s">
        <v>1420</v>
      </c>
    </row>
    <row r="6" spans="1:14" x14ac:dyDescent="0.3">
      <c r="A6" s="1306"/>
      <c r="B6" s="1396" t="s">
        <v>1992</v>
      </c>
      <c r="C6" s="1397" t="s">
        <v>1977</v>
      </c>
      <c r="D6" s="1284"/>
      <c r="E6" s="1284">
        <v>4</v>
      </c>
      <c r="F6" s="1284"/>
      <c r="G6" s="1284"/>
      <c r="H6" s="1284"/>
      <c r="I6" s="1284"/>
      <c r="J6" s="1284"/>
      <c r="K6" s="1284"/>
      <c r="L6" s="1315">
        <f>SUM(D6:K6)</f>
        <v>4</v>
      </c>
    </row>
    <row r="7" spans="1:14" x14ac:dyDescent="0.3">
      <c r="A7" s="1306"/>
      <c r="B7" s="1381"/>
      <c r="C7" s="1381"/>
      <c r="D7" s="1284"/>
      <c r="E7" s="1284"/>
      <c r="F7" s="1284"/>
      <c r="G7" s="1284"/>
      <c r="H7" s="1284"/>
      <c r="I7" s="1284"/>
      <c r="J7" s="1284"/>
      <c r="K7" s="1284"/>
      <c r="L7" s="1315">
        <f>+SUM(D7:K7)</f>
        <v>0</v>
      </c>
    </row>
    <row r="8" spans="1:14" x14ac:dyDescent="0.3">
      <c r="A8" s="1306"/>
      <c r="B8" s="1381"/>
      <c r="C8" s="1381"/>
      <c r="D8" s="1284"/>
      <c r="E8" s="1284"/>
      <c r="F8" s="1284"/>
      <c r="G8" s="1284"/>
      <c r="H8" s="1284"/>
      <c r="I8" s="1284"/>
      <c r="J8" s="1284"/>
      <c r="K8" s="1284"/>
      <c r="L8" s="1299">
        <f>+SUM(D8:K8)</f>
        <v>0</v>
      </c>
    </row>
    <row r="9" spans="1:14" ht="13.2" x14ac:dyDescent="0.25">
      <c r="A9"/>
      <c r="B9"/>
      <c r="C9"/>
      <c r="D9"/>
      <c r="E9"/>
      <c r="F9"/>
      <c r="G9"/>
      <c r="H9"/>
      <c r="I9"/>
      <c r="J9"/>
      <c r="K9"/>
      <c r="L9"/>
    </row>
    <row r="10" spans="1:14" x14ac:dyDescent="0.3">
      <c r="A10" s="1307"/>
      <c r="B10" s="1395" t="s">
        <v>1977</v>
      </c>
      <c r="C10" s="1398" t="s">
        <v>1985</v>
      </c>
      <c r="D10" s="1284"/>
      <c r="E10" s="1284"/>
      <c r="F10" s="1284"/>
      <c r="G10" s="1284">
        <v>13</v>
      </c>
      <c r="H10" s="1284"/>
      <c r="I10" s="1284"/>
      <c r="J10" s="1284"/>
      <c r="K10" s="1284"/>
      <c r="L10" s="1315">
        <f>+SUM(D10:K10)</f>
        <v>13</v>
      </c>
    </row>
    <row r="11" spans="1:14" x14ac:dyDescent="0.3">
      <c r="A11" s="1308"/>
      <c r="B11" s="1392" t="str">
        <f>C10</f>
        <v>TBT08</v>
      </c>
      <c r="C11" s="1399" t="s">
        <v>1993</v>
      </c>
      <c r="D11" s="1284"/>
      <c r="E11" s="1284"/>
      <c r="F11" s="1284"/>
      <c r="G11" s="1284">
        <v>15</v>
      </c>
      <c r="H11" s="1284"/>
      <c r="I11" s="1284"/>
      <c r="J11" s="1284"/>
      <c r="K11" s="1284"/>
      <c r="L11" s="1315">
        <f>+SUM(D11:K11)</f>
        <v>15</v>
      </c>
      <c r="N11" s="531"/>
    </row>
    <row r="12" spans="1:14" x14ac:dyDescent="0.3">
      <c r="A12" s="1308"/>
      <c r="B12" s="1390" t="str">
        <f>+$C$11</f>
        <v>LPB E0701-BT</v>
      </c>
      <c r="C12" s="1401" t="s">
        <v>2002</v>
      </c>
      <c r="D12" s="1284"/>
      <c r="E12" s="1284">
        <f>P27</f>
        <v>249.24</v>
      </c>
      <c r="F12" s="1284"/>
      <c r="G12" s="1284"/>
      <c r="H12" s="1284"/>
      <c r="I12" s="1284"/>
      <c r="J12" s="1284"/>
      <c r="K12" s="1284"/>
      <c r="L12" s="1315">
        <f t="shared" ref="L12:L19" si="0">+SUM(D12:K12)</f>
        <v>249.24</v>
      </c>
      <c r="N12" s="531"/>
    </row>
    <row r="13" spans="1:14" x14ac:dyDescent="0.3">
      <c r="A13" s="1308"/>
      <c r="B13" s="1392" t="str">
        <f>C12</f>
        <v>PE04</v>
      </c>
      <c r="C13" s="1400" t="s">
        <v>1984</v>
      </c>
      <c r="D13" s="1284"/>
      <c r="E13" s="1284"/>
      <c r="F13" s="1284"/>
      <c r="G13" s="1284">
        <v>15</v>
      </c>
      <c r="H13" s="1284"/>
      <c r="I13" s="1284"/>
      <c r="J13" s="1284"/>
      <c r="K13" s="1284"/>
      <c r="L13" s="1315">
        <f t="shared" si="0"/>
        <v>15</v>
      </c>
      <c r="N13" s="531"/>
    </row>
    <row r="14" spans="1:14" x14ac:dyDescent="0.3">
      <c r="A14" s="1308"/>
      <c r="B14" s="1391" t="str">
        <f>C13</f>
        <v>TBT-DT-97</v>
      </c>
      <c r="C14" s="1394" t="s">
        <v>1978</v>
      </c>
      <c r="D14" s="1284"/>
      <c r="E14" s="1284"/>
      <c r="F14" s="1284"/>
      <c r="G14" s="1284">
        <v>5</v>
      </c>
      <c r="H14" s="1284"/>
      <c r="I14" s="1284"/>
      <c r="J14" s="1284"/>
      <c r="K14" s="1284"/>
      <c r="L14" s="1315">
        <f t="shared" si="0"/>
        <v>5</v>
      </c>
      <c r="N14" s="531"/>
    </row>
    <row r="15" spans="1:14" x14ac:dyDescent="0.3">
      <c r="A15" s="1308"/>
      <c r="B15" s="1391" t="str">
        <f>+$C$14</f>
        <v>VFD-DT-58</v>
      </c>
      <c r="C15" s="1393" t="s">
        <v>1979</v>
      </c>
      <c r="D15" s="1284"/>
      <c r="E15" s="1284"/>
      <c r="F15" s="1284"/>
      <c r="G15" s="1284">
        <v>54</v>
      </c>
      <c r="H15" s="1284"/>
      <c r="I15" s="1284"/>
      <c r="J15" s="1284"/>
      <c r="K15" s="1284"/>
      <c r="L15" s="1315">
        <f t="shared" si="0"/>
        <v>54</v>
      </c>
      <c r="N15" s="531"/>
    </row>
    <row r="16" spans="1:14" x14ac:dyDescent="0.3">
      <c r="A16" s="1308"/>
      <c r="B16" s="1391" t="str">
        <f>B15</f>
        <v>VFD-DT-58</v>
      </c>
      <c r="C16" s="1404" t="s">
        <v>2023</v>
      </c>
      <c r="D16" s="1284"/>
      <c r="E16" s="1284"/>
      <c r="F16" s="1284"/>
      <c r="G16" s="1284">
        <v>54</v>
      </c>
      <c r="H16" s="1284"/>
      <c r="I16" s="1284"/>
      <c r="J16" s="1284"/>
      <c r="K16" s="1284"/>
      <c r="L16" s="1315">
        <f t="shared" si="0"/>
        <v>54</v>
      </c>
      <c r="N16" s="531"/>
    </row>
    <row r="17" spans="1:19" x14ac:dyDescent="0.3">
      <c r="A17" s="1308"/>
      <c r="B17" s="1391" t="str">
        <f>B14</f>
        <v>TBT-DT-97</v>
      </c>
      <c r="C17" s="1394" t="s">
        <v>1980</v>
      </c>
      <c r="D17" s="1284"/>
      <c r="E17" s="1284"/>
      <c r="F17" s="1284"/>
      <c r="G17" s="1284">
        <v>5</v>
      </c>
      <c r="H17" s="1284"/>
      <c r="I17" s="1284"/>
      <c r="J17" s="1284"/>
      <c r="K17" s="1284"/>
      <c r="L17" s="1315">
        <f t="shared" si="0"/>
        <v>5</v>
      </c>
      <c r="N17" s="531"/>
    </row>
    <row r="18" spans="1:19" x14ac:dyDescent="0.3">
      <c r="A18" s="1308"/>
      <c r="B18" s="1391" t="str">
        <f>C17</f>
        <v>VFD-DT-97</v>
      </c>
      <c r="C18" s="1394" t="s">
        <v>1989</v>
      </c>
      <c r="D18" s="1284"/>
      <c r="E18" s="1284"/>
      <c r="F18" s="1284"/>
      <c r="G18" s="1284">
        <v>35</v>
      </c>
      <c r="H18" s="1284"/>
      <c r="I18" s="1284"/>
      <c r="J18" s="1284"/>
      <c r="K18" s="1284"/>
      <c r="L18" s="1315">
        <f t="shared" si="0"/>
        <v>35</v>
      </c>
      <c r="N18" s="695"/>
    </row>
    <row r="19" spans="1:19" x14ac:dyDescent="0.3">
      <c r="A19" s="1308"/>
      <c r="B19" s="1391" t="str">
        <f>B18</f>
        <v>VFD-DT-97</v>
      </c>
      <c r="C19" s="1394" t="s">
        <v>1990</v>
      </c>
      <c r="D19" s="1284"/>
      <c r="E19" s="1284"/>
      <c r="F19" s="1284"/>
      <c r="G19" s="1284">
        <v>35</v>
      </c>
      <c r="H19" s="1284"/>
      <c r="I19" s="1284"/>
      <c r="J19" s="1284"/>
      <c r="K19" s="1284"/>
      <c r="L19" s="1315">
        <f t="shared" si="0"/>
        <v>35</v>
      </c>
      <c r="N19" s="75"/>
    </row>
    <row r="20" spans="1:19" x14ac:dyDescent="0.3">
      <c r="A20" s="1308"/>
      <c r="B20" s="1303"/>
      <c r="C20" s="1382"/>
      <c r="D20" s="1284"/>
      <c r="E20" s="1284"/>
      <c r="F20" s="1284"/>
      <c r="G20" s="1284"/>
      <c r="H20" s="1284"/>
      <c r="I20" s="1284"/>
      <c r="J20" s="1284"/>
      <c r="K20" s="1284"/>
      <c r="L20" s="1315"/>
      <c r="N20" s="75"/>
    </row>
    <row r="21" spans="1:19" x14ac:dyDescent="0.3">
      <c r="A21" s="1308"/>
      <c r="B21" s="1303"/>
      <c r="C21" s="1382"/>
      <c r="D21" s="1284"/>
      <c r="E21" s="1284"/>
      <c r="F21" s="1284"/>
      <c r="G21" s="1284"/>
      <c r="H21" s="1284"/>
      <c r="I21" s="1284"/>
      <c r="J21" s="1284"/>
      <c r="K21" s="1284"/>
      <c r="L21" s="1315"/>
      <c r="N21" s="75"/>
    </row>
    <row r="22" spans="1:19" x14ac:dyDescent="0.3">
      <c r="A22" s="1308"/>
      <c r="B22" s="1303"/>
      <c r="C22" s="1382"/>
      <c r="D22" s="1284"/>
      <c r="E22" s="1284"/>
      <c r="F22" s="1284"/>
      <c r="G22" s="1284"/>
      <c r="H22" s="1284"/>
      <c r="I22" s="1284"/>
      <c r="J22" s="1284"/>
      <c r="K22" s="1284"/>
      <c r="L22" s="1316"/>
      <c r="N22" s="75"/>
      <c r="O22" s="75" t="s">
        <v>1991</v>
      </c>
    </row>
    <row r="23" spans="1:19" x14ac:dyDescent="0.3">
      <c r="A23" s="1308"/>
      <c r="B23" s="1303" t="str">
        <f t="shared" ref="B23:B34" si="1">IF(N23="","",$C$10)</f>
        <v/>
      </c>
      <c r="C23" s="1382" t="str">
        <f t="shared" ref="C23:C32" si="2">IF(N23="","",_xlfn.CONCAT("VFD-",N23))</f>
        <v/>
      </c>
      <c r="D23" s="1284"/>
      <c r="E23" s="1284"/>
      <c r="F23" s="1284"/>
      <c r="G23" s="1284"/>
      <c r="H23" s="1284"/>
      <c r="I23" s="1284"/>
      <c r="J23" s="1284"/>
      <c r="K23" s="1284"/>
      <c r="L23" s="1316">
        <f t="shared" ref="L23:L33" si="3">+SUM(D23:K23)</f>
        <v>0</v>
      </c>
      <c r="P23">
        <v>62.5</v>
      </c>
    </row>
    <row r="24" spans="1:19" x14ac:dyDescent="0.3">
      <c r="A24" s="1308"/>
      <c r="B24" s="1303" t="str">
        <f t="shared" si="1"/>
        <v/>
      </c>
      <c r="C24" s="1382" t="str">
        <f t="shared" si="2"/>
        <v/>
      </c>
      <c r="D24" s="1284"/>
      <c r="E24" s="1284"/>
      <c r="F24" s="1284"/>
      <c r="G24" s="1284"/>
      <c r="H24" s="1284"/>
      <c r="I24" s="1284"/>
      <c r="J24" s="1284"/>
      <c r="K24" s="1284"/>
      <c r="L24" s="1316">
        <f t="shared" si="3"/>
        <v>0</v>
      </c>
      <c r="P24">
        <v>64.260000000000005</v>
      </c>
    </row>
    <row r="25" spans="1:19" x14ac:dyDescent="0.3">
      <c r="A25" s="1308"/>
      <c r="B25" s="1303" t="str">
        <f t="shared" si="1"/>
        <v/>
      </c>
      <c r="C25" s="1382" t="str">
        <f t="shared" si="2"/>
        <v/>
      </c>
      <c r="D25" s="1284"/>
      <c r="E25" s="1284"/>
      <c r="F25" s="1284"/>
      <c r="G25" s="1284"/>
      <c r="H25" s="1284"/>
      <c r="I25" s="1284"/>
      <c r="J25" s="1284"/>
      <c r="K25" s="1284"/>
      <c r="L25" s="1299">
        <f t="shared" si="3"/>
        <v>0</v>
      </c>
      <c r="P25">
        <v>101.1</v>
      </c>
    </row>
    <row r="26" spans="1:19" x14ac:dyDescent="0.3">
      <c r="A26" s="1308"/>
      <c r="B26" s="1303" t="str">
        <f t="shared" si="1"/>
        <v/>
      </c>
      <c r="C26" s="1382" t="str">
        <f t="shared" si="2"/>
        <v/>
      </c>
      <c r="D26" s="1284"/>
      <c r="E26" s="1284"/>
      <c r="F26" s="1284"/>
      <c r="G26" s="1284"/>
      <c r="H26" s="1284"/>
      <c r="I26" s="1284"/>
      <c r="J26" s="1284"/>
      <c r="K26" s="1284"/>
      <c r="L26" s="1299">
        <f t="shared" si="3"/>
        <v>0</v>
      </c>
      <c r="P26">
        <v>21.38</v>
      </c>
    </row>
    <row r="27" spans="1:19" x14ac:dyDescent="0.3">
      <c r="A27" s="1308"/>
      <c r="B27" s="1303" t="str">
        <f t="shared" si="1"/>
        <v/>
      </c>
      <c r="C27" s="1382" t="str">
        <f t="shared" si="2"/>
        <v/>
      </c>
      <c r="D27" s="1284"/>
      <c r="E27" s="1284"/>
      <c r="F27" s="1284"/>
      <c r="G27" s="1284"/>
      <c r="H27" s="1284"/>
      <c r="I27" s="1284"/>
      <c r="J27" s="1284"/>
      <c r="K27" s="1284"/>
      <c r="L27" s="1299">
        <f t="shared" si="3"/>
        <v>0</v>
      </c>
      <c r="P27" s="286">
        <f>SUM(P23:P26)</f>
        <v>249.24</v>
      </c>
      <c r="S27" s="75"/>
    </row>
    <row r="28" spans="1:19" x14ac:dyDescent="0.3">
      <c r="A28" s="1308"/>
      <c r="B28" s="1303" t="str">
        <f t="shared" si="1"/>
        <v/>
      </c>
      <c r="C28" s="1382" t="str">
        <f t="shared" si="2"/>
        <v/>
      </c>
      <c r="D28" s="1284"/>
      <c r="E28" s="1284"/>
      <c r="F28" s="1284"/>
      <c r="G28" s="1284"/>
      <c r="H28" s="1284"/>
      <c r="I28" s="1284"/>
      <c r="J28" s="1284"/>
      <c r="K28" s="1284"/>
      <c r="L28" s="1299">
        <f t="shared" si="3"/>
        <v>0</v>
      </c>
    </row>
    <row r="29" spans="1:19" x14ac:dyDescent="0.3">
      <c r="A29" s="1308"/>
      <c r="B29" s="1303" t="str">
        <f t="shared" si="1"/>
        <v/>
      </c>
      <c r="C29" s="1382" t="str">
        <f t="shared" si="2"/>
        <v/>
      </c>
      <c r="D29" s="1284"/>
      <c r="E29" s="1284"/>
      <c r="F29" s="1284"/>
      <c r="G29" s="1284"/>
      <c r="H29" s="1284"/>
      <c r="I29" s="1284"/>
      <c r="J29" s="1284"/>
      <c r="K29" s="1284"/>
      <c r="L29" s="1299">
        <f t="shared" si="3"/>
        <v>0</v>
      </c>
    </row>
    <row r="30" spans="1:19" x14ac:dyDescent="0.3">
      <c r="A30" s="1308"/>
      <c r="B30" s="1303" t="str">
        <f t="shared" si="1"/>
        <v/>
      </c>
      <c r="C30" s="1382" t="str">
        <f t="shared" si="2"/>
        <v/>
      </c>
      <c r="D30" s="1284"/>
      <c r="E30" s="1284"/>
      <c r="F30" s="1284"/>
      <c r="G30" s="1284"/>
      <c r="H30" s="1284"/>
      <c r="I30" s="1284"/>
      <c r="J30" s="1284"/>
      <c r="K30" s="1284"/>
      <c r="L30" s="1299">
        <f t="shared" si="3"/>
        <v>0</v>
      </c>
    </row>
    <row r="31" spans="1:19" x14ac:dyDescent="0.3">
      <c r="A31" s="1308"/>
      <c r="B31" s="1303" t="str">
        <f t="shared" si="1"/>
        <v/>
      </c>
      <c r="C31" s="1382" t="str">
        <f t="shared" si="2"/>
        <v/>
      </c>
      <c r="D31" s="1284"/>
      <c r="E31" s="1284"/>
      <c r="F31" s="1284"/>
      <c r="G31" s="1284"/>
      <c r="H31" s="1284"/>
      <c r="I31" s="1284"/>
      <c r="J31" s="1284"/>
      <c r="K31" s="1284"/>
      <c r="L31" s="1299">
        <f t="shared" si="3"/>
        <v>0</v>
      </c>
    </row>
    <row r="32" spans="1:19" x14ac:dyDescent="0.3">
      <c r="A32" s="1308"/>
      <c r="B32" s="1303" t="str">
        <f t="shared" si="1"/>
        <v/>
      </c>
      <c r="C32" s="1382" t="str">
        <f t="shared" si="2"/>
        <v/>
      </c>
      <c r="D32" s="1284"/>
      <c r="E32" s="1284"/>
      <c r="F32" s="1284"/>
      <c r="G32" s="1284"/>
      <c r="H32" s="1284"/>
      <c r="I32" s="1284"/>
      <c r="J32" s="1284"/>
      <c r="K32" s="1284"/>
      <c r="L32" s="1299">
        <f t="shared" si="3"/>
        <v>0</v>
      </c>
    </row>
    <row r="33" spans="1:14" x14ac:dyDescent="0.3">
      <c r="A33" s="1308"/>
      <c r="B33" s="1303" t="str">
        <f t="shared" si="1"/>
        <v/>
      </c>
      <c r="C33" s="1382">
        <f>+N33</f>
        <v>0</v>
      </c>
      <c r="D33" s="1284"/>
      <c r="E33" s="1284"/>
      <c r="F33" s="1284"/>
      <c r="G33" s="1331"/>
      <c r="H33" s="1284"/>
      <c r="I33" s="1284"/>
      <c r="J33" s="1284"/>
      <c r="K33" s="1284"/>
      <c r="L33" s="1315">
        <f t="shared" si="3"/>
        <v>0</v>
      </c>
      <c r="N33" s="75"/>
    </row>
    <row r="34" spans="1:14" x14ac:dyDescent="0.3">
      <c r="A34" s="1308"/>
      <c r="B34" s="1303" t="str">
        <f t="shared" si="1"/>
        <v/>
      </c>
      <c r="C34" s="1382">
        <f>+N34</f>
        <v>0</v>
      </c>
      <c r="D34" s="1284"/>
      <c r="E34" s="1284"/>
      <c r="F34" s="1284"/>
      <c r="G34" s="1331"/>
      <c r="H34" s="1284"/>
      <c r="I34" s="1284"/>
      <c r="J34" s="1284"/>
      <c r="K34" s="1284"/>
      <c r="L34" s="1315">
        <f t="shared" ref="L34" si="4">+SUM(D34:K34)</f>
        <v>0</v>
      </c>
      <c r="N34" s="75"/>
    </row>
    <row r="35" spans="1:14" x14ac:dyDescent="0.3">
      <c r="A35" s="1308"/>
      <c r="B35" s="1303" t="str">
        <f>IF(N35="","",$C$10)</f>
        <v/>
      </c>
      <c r="C35" s="1382">
        <f>+N35</f>
        <v>0</v>
      </c>
      <c r="D35" s="1284"/>
      <c r="E35" s="1284"/>
      <c r="F35" s="1284"/>
      <c r="G35" s="1331"/>
      <c r="H35" s="1284"/>
      <c r="I35" s="1284"/>
      <c r="J35" s="1284"/>
      <c r="K35" s="1284"/>
      <c r="L35" s="1315">
        <f t="shared" ref="L35" si="5">+SUM(D35:K35)</f>
        <v>0</v>
      </c>
      <c r="N35" s="75"/>
    </row>
    <row r="36" spans="1:14" ht="13.2" x14ac:dyDescent="0.25">
      <c r="A36"/>
      <c r="B36"/>
      <c r="C36"/>
      <c r="D36"/>
      <c r="E36"/>
      <c r="F36"/>
      <c r="G36"/>
      <c r="H36"/>
      <c r="I36"/>
      <c r="J36"/>
      <c r="K36"/>
      <c r="L36"/>
    </row>
    <row r="37" spans="1:14" x14ac:dyDescent="0.3">
      <c r="A37" s="1308"/>
      <c r="B37" s="1382"/>
      <c r="C37" s="1382"/>
      <c r="D37" s="1284"/>
      <c r="E37" s="1284"/>
      <c r="F37" s="1284"/>
      <c r="G37" s="1331"/>
      <c r="H37" s="1284"/>
      <c r="I37" s="1284"/>
      <c r="J37" s="1284"/>
      <c r="K37" s="1284"/>
      <c r="L37" s="1315">
        <f t="shared" ref="L37:L56" si="6">+SUM(D37:K37)</f>
        <v>0</v>
      </c>
    </row>
    <row r="38" spans="1:14" x14ac:dyDescent="0.3">
      <c r="A38" s="1308"/>
      <c r="B38" s="1382"/>
      <c r="C38" s="1382"/>
      <c r="D38" s="1284"/>
      <c r="E38" s="1284"/>
      <c r="F38" s="1284"/>
      <c r="G38" s="1331"/>
      <c r="H38" s="1284"/>
      <c r="I38" s="1284"/>
      <c r="J38" s="1284"/>
      <c r="K38" s="1284"/>
      <c r="L38" s="1315">
        <f t="shared" si="6"/>
        <v>0</v>
      </c>
    </row>
    <row r="39" spans="1:14" x14ac:dyDescent="0.3">
      <c r="A39" s="1308"/>
      <c r="B39" s="1382"/>
      <c r="C39" s="1382"/>
      <c r="D39" s="1284"/>
      <c r="E39" s="1284"/>
      <c r="F39" s="1284"/>
      <c r="G39" s="1331"/>
      <c r="H39" s="1284"/>
      <c r="I39" s="1284"/>
      <c r="J39" s="1284"/>
      <c r="K39" s="1284"/>
      <c r="L39" s="1315">
        <f t="shared" si="6"/>
        <v>0</v>
      </c>
    </row>
    <row r="40" spans="1:14" x14ac:dyDescent="0.3">
      <c r="A40" s="1308"/>
      <c r="B40" s="1382"/>
      <c r="C40" s="1382"/>
      <c r="D40" s="1284"/>
      <c r="E40" s="1284"/>
      <c r="F40" s="1284"/>
      <c r="G40" s="1331"/>
      <c r="H40" s="1284"/>
      <c r="I40" s="1284"/>
      <c r="J40" s="1284"/>
      <c r="K40" s="1284"/>
      <c r="L40" s="1315">
        <f t="shared" si="6"/>
        <v>0</v>
      </c>
    </row>
    <row r="41" spans="1:14" x14ac:dyDescent="0.3">
      <c r="A41" s="1308"/>
      <c r="B41" s="1382"/>
      <c r="C41" s="1382"/>
      <c r="D41" s="1284"/>
      <c r="E41" s="1284"/>
      <c r="F41" s="1284"/>
      <c r="G41" s="1331"/>
      <c r="H41" s="1284"/>
      <c r="I41" s="1284"/>
      <c r="J41" s="1284"/>
      <c r="K41" s="1284"/>
      <c r="L41" s="1315">
        <f t="shared" si="6"/>
        <v>0</v>
      </c>
    </row>
    <row r="42" spans="1:14" x14ac:dyDescent="0.3">
      <c r="A42" s="1308"/>
      <c r="B42" s="1382" t="str">
        <f t="shared" ref="B42:B56" si="7">IF(N19="","",_xlfn.CONCAT("SUT-",N19))</f>
        <v/>
      </c>
      <c r="C42" s="1382" t="str">
        <f t="shared" ref="C42:C56" si="8">IF(N19="","",_xlfn.CONCAT("CV-",N19))</f>
        <v/>
      </c>
      <c r="D42" s="1284"/>
      <c r="E42" s="1284"/>
      <c r="F42" s="1284"/>
      <c r="G42" s="1331"/>
      <c r="H42" s="1284"/>
      <c r="I42" s="1284"/>
      <c r="J42" s="1284"/>
      <c r="K42" s="1284"/>
      <c r="L42" s="1315">
        <f t="shared" si="6"/>
        <v>0</v>
      </c>
    </row>
    <row r="43" spans="1:14" x14ac:dyDescent="0.3">
      <c r="A43" s="1308"/>
      <c r="B43" s="1382" t="str">
        <f t="shared" si="7"/>
        <v/>
      </c>
      <c r="C43" s="1382" t="str">
        <f t="shared" si="8"/>
        <v/>
      </c>
      <c r="D43" s="1284"/>
      <c r="E43" s="1284"/>
      <c r="F43" s="1284"/>
      <c r="G43" s="1331"/>
      <c r="H43" s="1284"/>
      <c r="I43" s="1284"/>
      <c r="J43" s="1284"/>
      <c r="K43" s="1284"/>
      <c r="L43" s="1315">
        <f t="shared" si="6"/>
        <v>0</v>
      </c>
    </row>
    <row r="44" spans="1:14" x14ac:dyDescent="0.3">
      <c r="A44" s="1308"/>
      <c r="B44" s="1382" t="str">
        <f t="shared" si="7"/>
        <v/>
      </c>
      <c r="C44" s="1382" t="str">
        <f t="shared" si="8"/>
        <v/>
      </c>
      <c r="D44" s="1284"/>
      <c r="E44" s="1284"/>
      <c r="F44" s="1284"/>
      <c r="G44" s="1331"/>
      <c r="H44" s="1284"/>
      <c r="I44" s="1284"/>
      <c r="J44" s="1284"/>
      <c r="K44" s="1284"/>
      <c r="L44" s="1315">
        <f t="shared" si="6"/>
        <v>0</v>
      </c>
    </row>
    <row r="45" spans="1:14" x14ac:dyDescent="0.3">
      <c r="A45" s="1308"/>
      <c r="B45" s="1382" t="str">
        <f t="shared" si="7"/>
        <v/>
      </c>
      <c r="C45" s="1382" t="str">
        <f t="shared" si="8"/>
        <v/>
      </c>
      <c r="D45" s="1284"/>
      <c r="E45" s="1284"/>
      <c r="F45" s="1284"/>
      <c r="G45" s="1331"/>
      <c r="H45" s="1284"/>
      <c r="I45" s="1284"/>
      <c r="J45" s="1284"/>
      <c r="K45" s="1284"/>
      <c r="L45" s="1315">
        <f t="shared" si="6"/>
        <v>0</v>
      </c>
    </row>
    <row r="46" spans="1:14" x14ac:dyDescent="0.3">
      <c r="A46" s="1308"/>
      <c r="B46" s="1382" t="str">
        <f t="shared" si="7"/>
        <v/>
      </c>
      <c r="C46" s="1382" t="str">
        <f t="shared" si="8"/>
        <v/>
      </c>
      <c r="D46" s="1284"/>
      <c r="E46" s="1284"/>
      <c r="F46" s="1284"/>
      <c r="G46" s="1331"/>
      <c r="H46" s="1284"/>
      <c r="I46" s="1284"/>
      <c r="J46" s="1284"/>
      <c r="K46" s="1284"/>
      <c r="L46" s="1315">
        <f t="shared" si="6"/>
        <v>0</v>
      </c>
    </row>
    <row r="47" spans="1:14" x14ac:dyDescent="0.3">
      <c r="A47" s="1308"/>
      <c r="B47" s="1382" t="str">
        <f t="shared" si="7"/>
        <v/>
      </c>
      <c r="C47" s="1382" t="str">
        <f t="shared" si="8"/>
        <v/>
      </c>
      <c r="D47" s="1284"/>
      <c r="E47" s="1284"/>
      <c r="F47" s="1284"/>
      <c r="G47" s="1331"/>
      <c r="H47" s="1284"/>
      <c r="I47" s="1284"/>
      <c r="J47" s="1284"/>
      <c r="K47" s="1284"/>
      <c r="L47" s="1315">
        <f t="shared" si="6"/>
        <v>0</v>
      </c>
    </row>
    <row r="48" spans="1:14" x14ac:dyDescent="0.3">
      <c r="A48" s="1308"/>
      <c r="B48" s="1382" t="str">
        <f t="shared" si="7"/>
        <v/>
      </c>
      <c r="C48" s="1382" t="str">
        <f t="shared" si="8"/>
        <v/>
      </c>
      <c r="D48" s="1284"/>
      <c r="E48" s="1284"/>
      <c r="F48" s="1284"/>
      <c r="G48" s="1284"/>
      <c r="H48" s="1284"/>
      <c r="I48" s="1284"/>
      <c r="J48" s="1284"/>
      <c r="K48" s="1284"/>
      <c r="L48" s="1299">
        <f t="shared" si="6"/>
        <v>0</v>
      </c>
    </row>
    <row r="49" spans="1:14" x14ac:dyDescent="0.3">
      <c r="A49" s="1308"/>
      <c r="B49" s="1382" t="str">
        <f t="shared" si="7"/>
        <v/>
      </c>
      <c r="C49" s="1382" t="str">
        <f t="shared" si="8"/>
        <v/>
      </c>
      <c r="D49" s="1284"/>
      <c r="E49" s="1284"/>
      <c r="F49" s="1284"/>
      <c r="G49" s="1284"/>
      <c r="H49" s="1284"/>
      <c r="I49" s="1284"/>
      <c r="J49" s="1284"/>
      <c r="K49" s="1284"/>
      <c r="L49" s="1299">
        <f t="shared" si="6"/>
        <v>0</v>
      </c>
    </row>
    <row r="50" spans="1:14" x14ac:dyDescent="0.3">
      <c r="A50" s="1308"/>
      <c r="B50" s="1382" t="str">
        <f t="shared" si="7"/>
        <v/>
      </c>
      <c r="C50" s="1382" t="str">
        <f t="shared" si="8"/>
        <v/>
      </c>
      <c r="D50" s="1284"/>
      <c r="E50" s="1284"/>
      <c r="F50" s="1284"/>
      <c r="G50" s="1284"/>
      <c r="H50" s="1284"/>
      <c r="I50" s="1284"/>
      <c r="J50" s="1284"/>
      <c r="K50" s="1284"/>
      <c r="L50" s="1299">
        <f t="shared" si="6"/>
        <v>0</v>
      </c>
    </row>
    <row r="51" spans="1:14" x14ac:dyDescent="0.3">
      <c r="A51" s="1308"/>
      <c r="B51" s="1382" t="str">
        <f t="shared" si="7"/>
        <v/>
      </c>
      <c r="C51" s="1382" t="str">
        <f t="shared" si="8"/>
        <v/>
      </c>
      <c r="D51" s="1284"/>
      <c r="E51" s="1284"/>
      <c r="F51" s="1284"/>
      <c r="G51" s="1284"/>
      <c r="H51" s="1284"/>
      <c r="I51" s="1284"/>
      <c r="J51" s="1284"/>
      <c r="K51" s="1284"/>
      <c r="L51" s="1299">
        <f t="shared" si="6"/>
        <v>0</v>
      </c>
    </row>
    <row r="52" spans="1:14" x14ac:dyDescent="0.3">
      <c r="A52" s="1308"/>
      <c r="B52" s="1382" t="str">
        <f t="shared" si="7"/>
        <v/>
      </c>
      <c r="C52" s="1382" t="str">
        <f t="shared" si="8"/>
        <v/>
      </c>
      <c r="D52" s="1284"/>
      <c r="E52" s="1284"/>
      <c r="F52" s="1284"/>
      <c r="G52" s="1284"/>
      <c r="H52" s="1284"/>
      <c r="I52" s="1284"/>
      <c r="J52" s="1284"/>
      <c r="K52" s="1284"/>
      <c r="L52" s="1299">
        <f t="shared" si="6"/>
        <v>0</v>
      </c>
    </row>
    <row r="53" spans="1:14" x14ac:dyDescent="0.3">
      <c r="A53" s="1308"/>
      <c r="B53" s="1382" t="str">
        <f t="shared" si="7"/>
        <v/>
      </c>
      <c r="C53" s="1382" t="str">
        <f t="shared" si="8"/>
        <v/>
      </c>
      <c r="D53" s="1284"/>
      <c r="E53" s="1284"/>
      <c r="F53" s="1284"/>
      <c r="G53" s="1284"/>
      <c r="H53" s="1284"/>
      <c r="I53" s="1284"/>
      <c r="J53" s="1284"/>
      <c r="K53" s="1284"/>
      <c r="L53" s="1299">
        <f t="shared" si="6"/>
        <v>0</v>
      </c>
    </row>
    <row r="54" spans="1:14" x14ac:dyDescent="0.3">
      <c r="A54" s="1308"/>
      <c r="B54" s="1382" t="str">
        <f t="shared" si="7"/>
        <v/>
      </c>
      <c r="C54" s="1382" t="str">
        <f t="shared" si="8"/>
        <v/>
      </c>
      <c r="D54" s="1284"/>
      <c r="E54" s="1284"/>
      <c r="F54" s="1284"/>
      <c r="G54" s="1284"/>
      <c r="H54" s="1284"/>
      <c r="I54" s="1284"/>
      <c r="J54" s="1284"/>
      <c r="K54" s="1284"/>
      <c r="L54" s="1299">
        <f t="shared" si="6"/>
        <v>0</v>
      </c>
    </row>
    <row r="55" spans="1:14" x14ac:dyDescent="0.3">
      <c r="A55" s="1308"/>
      <c r="B55" s="1382" t="str">
        <f t="shared" si="7"/>
        <v/>
      </c>
      <c r="C55" s="1382" t="str">
        <f t="shared" si="8"/>
        <v/>
      </c>
      <c r="D55" s="1284"/>
      <c r="E55" s="1284"/>
      <c r="F55" s="1284"/>
      <c r="G55" s="1284"/>
      <c r="H55" s="1284"/>
      <c r="I55" s="1284"/>
      <c r="J55" s="1284"/>
      <c r="K55" s="1284"/>
      <c r="L55" s="1299">
        <f t="shared" si="6"/>
        <v>0</v>
      </c>
    </row>
    <row r="56" spans="1:14" x14ac:dyDescent="0.3">
      <c r="A56" s="1308"/>
      <c r="B56" s="1382" t="str">
        <f t="shared" si="7"/>
        <v/>
      </c>
      <c r="C56" s="1382" t="str">
        <f t="shared" si="8"/>
        <v/>
      </c>
      <c r="D56" s="1284"/>
      <c r="E56" s="1284"/>
      <c r="F56" s="1284"/>
      <c r="G56" s="1284"/>
      <c r="H56" s="1284"/>
      <c r="I56" s="1284"/>
      <c r="J56" s="1284"/>
      <c r="K56" s="1284"/>
      <c r="L56" s="1299">
        <f t="shared" si="6"/>
        <v>0</v>
      </c>
    </row>
    <row r="57" spans="1:14" ht="13.2" x14ac:dyDescent="0.25">
      <c r="A57"/>
      <c r="B57"/>
      <c r="C57"/>
      <c r="D57"/>
      <c r="E57"/>
      <c r="F57"/>
      <c r="G57"/>
      <c r="H57"/>
      <c r="I57"/>
      <c r="J57"/>
      <c r="K57"/>
      <c r="L57"/>
    </row>
    <row r="58" spans="1:14" x14ac:dyDescent="0.3">
      <c r="A58" s="1307">
        <v>2</v>
      </c>
      <c r="B58" s="1302">
        <f>+C7</f>
        <v>0</v>
      </c>
      <c r="C58" s="1378" t="s">
        <v>1421</v>
      </c>
      <c r="D58" s="1284"/>
      <c r="E58" s="1284"/>
      <c r="F58" s="1284"/>
      <c r="G58" s="1284"/>
      <c r="H58" s="1284"/>
      <c r="I58" s="1284"/>
      <c r="J58" s="1284"/>
      <c r="K58" s="1284"/>
      <c r="L58" s="1315">
        <f>+SUM(D58:K58)</f>
        <v>0</v>
      </c>
    </row>
    <row r="59" spans="1:14" x14ac:dyDescent="0.3">
      <c r="A59" s="1309">
        <v>2</v>
      </c>
      <c r="B59" s="1304" t="str">
        <f>IF(N59="","",$C$58)</f>
        <v/>
      </c>
      <c r="C59" s="1383" t="str">
        <f>IF(N59="","",_xlfn.CONCAT("VFD-",N59))</f>
        <v/>
      </c>
      <c r="D59" s="1284"/>
      <c r="E59" s="1284"/>
      <c r="F59" s="1284"/>
      <c r="G59" s="1284"/>
      <c r="H59" s="1284"/>
      <c r="I59" s="1284"/>
      <c r="J59" s="1284"/>
      <c r="K59" s="1284"/>
      <c r="L59" s="1315">
        <f>+SUM(D59:K59)</f>
        <v>0</v>
      </c>
      <c r="N59" s="1332"/>
    </row>
    <row r="60" spans="1:14" x14ac:dyDescent="0.3">
      <c r="A60" s="1309">
        <v>2</v>
      </c>
      <c r="B60" s="1304" t="str">
        <f t="shared" ref="B60:B78" si="9">IF(N60="","",$C$58)</f>
        <v/>
      </c>
      <c r="C60" s="1383" t="str">
        <f t="shared" ref="C60:C78" si="10">IF(N60="","",_xlfn.CONCAT("VFD-",N60))</f>
        <v/>
      </c>
      <c r="D60" s="1284"/>
      <c r="E60" s="1284"/>
      <c r="F60" s="1284"/>
      <c r="G60" s="1284"/>
      <c r="H60" s="1284"/>
      <c r="I60" s="1284"/>
      <c r="J60" s="1284"/>
      <c r="K60" s="1284"/>
      <c r="L60" s="1315">
        <f t="shared" ref="L60:L78" si="11">+SUM(D60:K60)</f>
        <v>0</v>
      </c>
      <c r="N60" s="1332"/>
    </row>
    <row r="61" spans="1:14" x14ac:dyDescent="0.3">
      <c r="A61" s="1309">
        <v>2</v>
      </c>
      <c r="B61" s="1304" t="str">
        <f t="shared" si="9"/>
        <v/>
      </c>
      <c r="C61" s="1383" t="str">
        <f t="shared" si="10"/>
        <v/>
      </c>
      <c r="D61" s="1284"/>
      <c r="E61" s="1284"/>
      <c r="F61" s="1284"/>
      <c r="G61" s="1284"/>
      <c r="H61" s="1284"/>
      <c r="I61" s="1284"/>
      <c r="J61" s="1284"/>
      <c r="K61" s="1284"/>
      <c r="L61" s="1315">
        <f t="shared" si="11"/>
        <v>0</v>
      </c>
      <c r="N61" s="1332"/>
    </row>
    <row r="62" spans="1:14" x14ac:dyDescent="0.3">
      <c r="A62" s="1309">
        <v>2</v>
      </c>
      <c r="B62" s="1304" t="str">
        <f t="shared" si="9"/>
        <v/>
      </c>
      <c r="C62" s="1383" t="str">
        <f t="shared" si="10"/>
        <v/>
      </c>
      <c r="D62" s="1284"/>
      <c r="E62" s="1284"/>
      <c r="F62" s="1284"/>
      <c r="G62" s="1284"/>
      <c r="H62" s="1284"/>
      <c r="I62" s="1284"/>
      <c r="J62" s="1284"/>
      <c r="K62" s="1284"/>
      <c r="L62" s="1315">
        <f t="shared" si="11"/>
        <v>0</v>
      </c>
    </row>
    <row r="63" spans="1:14" x14ac:dyDescent="0.3">
      <c r="A63" s="1309">
        <v>2</v>
      </c>
      <c r="B63" s="1304" t="str">
        <f t="shared" si="9"/>
        <v/>
      </c>
      <c r="C63" s="1383" t="str">
        <f t="shared" si="10"/>
        <v/>
      </c>
      <c r="D63" s="1284"/>
      <c r="E63" s="1284"/>
      <c r="F63" s="1284"/>
      <c r="G63" s="1284"/>
      <c r="H63" s="1284"/>
      <c r="I63" s="1284"/>
      <c r="J63" s="1284"/>
      <c r="K63" s="1284"/>
      <c r="L63" s="1315">
        <f t="shared" si="11"/>
        <v>0</v>
      </c>
      <c r="N63" s="75"/>
    </row>
    <row r="64" spans="1:14" x14ac:dyDescent="0.3">
      <c r="A64" s="1309">
        <v>2</v>
      </c>
      <c r="B64" s="1304" t="str">
        <f t="shared" si="9"/>
        <v/>
      </c>
      <c r="C64" s="1383" t="str">
        <f t="shared" si="10"/>
        <v/>
      </c>
      <c r="D64" s="1284"/>
      <c r="E64" s="1284"/>
      <c r="F64" s="1284"/>
      <c r="G64" s="1284"/>
      <c r="H64" s="1284"/>
      <c r="I64" s="1284"/>
      <c r="J64" s="1284"/>
      <c r="K64" s="1284"/>
      <c r="L64" s="1315">
        <f t="shared" si="11"/>
        <v>0</v>
      </c>
    </row>
    <row r="65" spans="1:12" x14ac:dyDescent="0.3">
      <c r="A65" s="1309">
        <v>2</v>
      </c>
      <c r="B65" s="1304" t="str">
        <f t="shared" si="9"/>
        <v/>
      </c>
      <c r="C65" s="1383" t="str">
        <f t="shared" si="10"/>
        <v/>
      </c>
      <c r="D65" s="1284"/>
      <c r="E65" s="1284"/>
      <c r="F65" s="1284"/>
      <c r="G65" s="1284"/>
      <c r="H65" s="1284"/>
      <c r="I65" s="1284"/>
      <c r="J65" s="1284"/>
      <c r="K65" s="1284"/>
      <c r="L65" s="1299">
        <f t="shared" si="11"/>
        <v>0</v>
      </c>
    </row>
    <row r="66" spans="1:12" x14ac:dyDescent="0.3">
      <c r="A66" s="1309">
        <v>2</v>
      </c>
      <c r="B66" s="1304" t="str">
        <f t="shared" si="9"/>
        <v/>
      </c>
      <c r="C66" s="1383" t="str">
        <f t="shared" si="10"/>
        <v/>
      </c>
      <c r="D66" s="1284"/>
      <c r="E66" s="1284"/>
      <c r="F66" s="1284"/>
      <c r="G66" s="1284"/>
      <c r="H66" s="1284"/>
      <c r="I66" s="1284"/>
      <c r="J66" s="1284"/>
      <c r="K66" s="1284"/>
      <c r="L66" s="1299">
        <f t="shared" si="11"/>
        <v>0</v>
      </c>
    </row>
    <row r="67" spans="1:12" x14ac:dyDescent="0.3">
      <c r="A67" s="1309">
        <v>2</v>
      </c>
      <c r="B67" s="1304" t="str">
        <f t="shared" si="9"/>
        <v/>
      </c>
      <c r="C67" s="1383" t="str">
        <f t="shared" si="10"/>
        <v/>
      </c>
      <c r="D67" s="1284"/>
      <c r="E67" s="1284"/>
      <c r="F67" s="1284"/>
      <c r="G67" s="1284"/>
      <c r="H67" s="1284"/>
      <c r="I67" s="1284"/>
      <c r="J67" s="1284"/>
      <c r="K67" s="1284"/>
      <c r="L67" s="1299">
        <f t="shared" si="11"/>
        <v>0</v>
      </c>
    </row>
    <row r="68" spans="1:12" x14ac:dyDescent="0.3">
      <c r="A68" s="1309">
        <v>2</v>
      </c>
      <c r="B68" s="1304" t="str">
        <f t="shared" si="9"/>
        <v/>
      </c>
      <c r="C68" s="1383" t="str">
        <f t="shared" si="10"/>
        <v/>
      </c>
      <c r="D68" s="1284"/>
      <c r="E68" s="1284"/>
      <c r="F68" s="1284"/>
      <c r="G68" s="1284"/>
      <c r="H68" s="1284"/>
      <c r="I68" s="1284"/>
      <c r="J68" s="1284"/>
      <c r="K68" s="1284"/>
      <c r="L68" s="1299">
        <f t="shared" si="11"/>
        <v>0</v>
      </c>
    </row>
    <row r="69" spans="1:12" x14ac:dyDescent="0.3">
      <c r="A69" s="1309">
        <v>2</v>
      </c>
      <c r="B69" s="1304" t="str">
        <f t="shared" si="9"/>
        <v/>
      </c>
      <c r="C69" s="1383" t="str">
        <f t="shared" si="10"/>
        <v/>
      </c>
      <c r="D69" s="1284"/>
      <c r="E69" s="1284"/>
      <c r="F69" s="1284"/>
      <c r="G69" s="1284"/>
      <c r="H69" s="1284"/>
      <c r="I69" s="1284"/>
      <c r="J69" s="1284"/>
      <c r="K69" s="1284"/>
      <c r="L69" s="1299">
        <f t="shared" si="11"/>
        <v>0</v>
      </c>
    </row>
    <row r="70" spans="1:12" x14ac:dyDescent="0.3">
      <c r="A70" s="1309">
        <v>2</v>
      </c>
      <c r="B70" s="1304" t="str">
        <f t="shared" si="9"/>
        <v/>
      </c>
      <c r="C70" s="1383" t="str">
        <f t="shared" si="10"/>
        <v/>
      </c>
      <c r="D70" s="1284"/>
      <c r="E70" s="1284"/>
      <c r="F70" s="1284"/>
      <c r="G70" s="1284"/>
      <c r="H70" s="1284"/>
      <c r="I70" s="1284"/>
      <c r="J70" s="1284"/>
      <c r="K70" s="1284"/>
      <c r="L70" s="1299">
        <f t="shared" si="11"/>
        <v>0</v>
      </c>
    </row>
    <row r="71" spans="1:12" x14ac:dyDescent="0.3">
      <c r="A71" s="1309">
        <v>2</v>
      </c>
      <c r="B71" s="1304" t="str">
        <f t="shared" si="9"/>
        <v/>
      </c>
      <c r="C71" s="1383" t="str">
        <f t="shared" si="10"/>
        <v/>
      </c>
      <c r="D71" s="1284"/>
      <c r="E71" s="1284"/>
      <c r="F71" s="1284"/>
      <c r="G71" s="1284"/>
      <c r="H71" s="1284"/>
      <c r="I71" s="1284"/>
      <c r="J71" s="1284"/>
      <c r="K71" s="1284"/>
      <c r="L71" s="1299">
        <f t="shared" si="11"/>
        <v>0</v>
      </c>
    </row>
    <row r="72" spans="1:12" x14ac:dyDescent="0.3">
      <c r="A72" s="1309">
        <v>2</v>
      </c>
      <c r="B72" s="1304" t="str">
        <f t="shared" si="9"/>
        <v/>
      </c>
      <c r="C72" s="1383" t="str">
        <f t="shared" si="10"/>
        <v/>
      </c>
      <c r="D72" s="1284"/>
      <c r="E72" s="1284"/>
      <c r="F72" s="1284"/>
      <c r="G72" s="1284"/>
      <c r="H72" s="1284"/>
      <c r="I72" s="1284"/>
      <c r="J72" s="1284"/>
      <c r="K72" s="1284"/>
      <c r="L72" s="1299">
        <f t="shared" si="11"/>
        <v>0</v>
      </c>
    </row>
    <row r="73" spans="1:12" x14ac:dyDescent="0.3">
      <c r="A73" s="1309">
        <v>2</v>
      </c>
      <c r="B73" s="1304" t="str">
        <f t="shared" si="9"/>
        <v/>
      </c>
      <c r="C73" s="1383" t="str">
        <f t="shared" si="10"/>
        <v/>
      </c>
      <c r="D73" s="1284"/>
      <c r="E73" s="1284"/>
      <c r="F73" s="1284"/>
      <c r="G73" s="1284"/>
      <c r="H73" s="1284"/>
      <c r="I73" s="1284"/>
      <c r="J73" s="1284"/>
      <c r="K73" s="1284"/>
      <c r="L73" s="1299">
        <f t="shared" si="11"/>
        <v>0</v>
      </c>
    </row>
    <row r="74" spans="1:12" x14ac:dyDescent="0.3">
      <c r="A74" s="1309">
        <v>2</v>
      </c>
      <c r="B74" s="1304" t="str">
        <f t="shared" si="9"/>
        <v/>
      </c>
      <c r="C74" s="1383" t="str">
        <f t="shared" si="10"/>
        <v/>
      </c>
      <c r="D74" s="1284"/>
      <c r="E74" s="1284"/>
      <c r="F74" s="1284"/>
      <c r="G74" s="1284"/>
      <c r="H74" s="1284"/>
      <c r="I74" s="1284"/>
      <c r="J74" s="1284"/>
      <c r="K74" s="1284"/>
      <c r="L74" s="1299">
        <f t="shared" si="11"/>
        <v>0</v>
      </c>
    </row>
    <row r="75" spans="1:12" x14ac:dyDescent="0.3">
      <c r="A75" s="1309">
        <v>2</v>
      </c>
      <c r="B75" s="1304" t="str">
        <f t="shared" si="9"/>
        <v/>
      </c>
      <c r="C75" s="1383" t="str">
        <f t="shared" si="10"/>
        <v/>
      </c>
      <c r="D75" s="1284"/>
      <c r="E75" s="1284"/>
      <c r="F75" s="1284"/>
      <c r="G75" s="1284"/>
      <c r="H75" s="1284"/>
      <c r="I75" s="1284"/>
      <c r="J75" s="1284"/>
      <c r="K75" s="1284"/>
      <c r="L75" s="1299">
        <f t="shared" si="11"/>
        <v>0</v>
      </c>
    </row>
    <row r="76" spans="1:12" x14ac:dyDescent="0.3">
      <c r="A76" s="1309">
        <v>2</v>
      </c>
      <c r="B76" s="1304" t="str">
        <f t="shared" si="9"/>
        <v/>
      </c>
      <c r="C76" s="1383" t="str">
        <f t="shared" si="10"/>
        <v/>
      </c>
      <c r="D76" s="1284"/>
      <c r="E76" s="1284"/>
      <c r="F76" s="1284"/>
      <c r="G76" s="1284"/>
      <c r="H76" s="1284"/>
      <c r="I76" s="1284"/>
      <c r="J76" s="1284"/>
      <c r="K76" s="1284"/>
      <c r="L76" s="1299">
        <f t="shared" si="11"/>
        <v>0</v>
      </c>
    </row>
    <row r="77" spans="1:12" x14ac:dyDescent="0.3">
      <c r="A77" s="1309">
        <v>2</v>
      </c>
      <c r="B77" s="1304" t="str">
        <f t="shared" si="9"/>
        <v/>
      </c>
      <c r="C77" s="1383" t="str">
        <f t="shared" si="10"/>
        <v/>
      </c>
      <c r="D77" s="1284"/>
      <c r="E77" s="1284"/>
      <c r="F77" s="1284"/>
      <c r="G77" s="1284"/>
      <c r="H77" s="1284"/>
      <c r="I77" s="1284"/>
      <c r="J77" s="1284"/>
      <c r="K77" s="1284"/>
      <c r="L77" s="1299">
        <f t="shared" si="11"/>
        <v>0</v>
      </c>
    </row>
    <row r="78" spans="1:12" x14ac:dyDescent="0.3">
      <c r="A78" s="1309">
        <v>2</v>
      </c>
      <c r="B78" s="1304" t="str">
        <f t="shared" si="9"/>
        <v/>
      </c>
      <c r="C78" s="1383" t="str">
        <f t="shared" si="10"/>
        <v/>
      </c>
      <c r="D78" s="1284"/>
      <c r="E78" s="1284"/>
      <c r="F78" s="1284"/>
      <c r="G78" s="1284"/>
      <c r="H78" s="1284"/>
      <c r="I78" s="1284"/>
      <c r="J78" s="1284"/>
      <c r="K78" s="1284"/>
      <c r="L78" s="1299">
        <f t="shared" si="11"/>
        <v>0</v>
      </c>
    </row>
    <row r="79" spans="1:12" ht="13.2" x14ac:dyDescent="0.25">
      <c r="A79"/>
      <c r="B79"/>
      <c r="C79"/>
      <c r="D79"/>
      <c r="E79"/>
      <c r="F79"/>
      <c r="G79"/>
      <c r="H79"/>
      <c r="I79"/>
      <c r="J79"/>
      <c r="K79"/>
      <c r="L79"/>
    </row>
    <row r="80" spans="1:12" x14ac:dyDescent="0.3">
      <c r="A80" s="1309">
        <v>2</v>
      </c>
      <c r="B80" s="1383" t="str">
        <f>IF(N59="","",_xlfn.CONCAT("SUT-",N59))</f>
        <v/>
      </c>
      <c r="C80" s="1383" t="str">
        <f>IF(N59="","",_xlfn.CONCAT("CV-",N59))</f>
        <v/>
      </c>
      <c r="D80" s="1284"/>
      <c r="E80" s="1284"/>
      <c r="F80" s="1284"/>
      <c r="G80" s="1284"/>
      <c r="H80" s="1284"/>
      <c r="I80" s="1284"/>
      <c r="J80" s="1284"/>
      <c r="K80" s="1284"/>
      <c r="L80" s="1315">
        <f t="shared" ref="L80:L88" si="12">+SUM(D80:K80)</f>
        <v>0</v>
      </c>
    </row>
    <row r="81" spans="1:12" x14ac:dyDescent="0.3">
      <c r="A81" s="1309">
        <v>2</v>
      </c>
      <c r="B81" s="1383" t="str">
        <f t="shared" ref="B81:B99" si="13">IF(N60="","",_xlfn.CONCAT("SUT-",N60))</f>
        <v/>
      </c>
      <c r="C81" s="1383" t="str">
        <f t="shared" ref="C81:C99" si="14">IF(N60="","",_xlfn.CONCAT("CV-",N60))</f>
        <v/>
      </c>
      <c r="D81" s="1284"/>
      <c r="E81" s="1284"/>
      <c r="F81" s="1284"/>
      <c r="G81" s="1284"/>
      <c r="H81" s="1284"/>
      <c r="I81" s="1284"/>
      <c r="J81" s="1284"/>
      <c r="K81" s="1284"/>
      <c r="L81" s="1315">
        <f t="shared" si="12"/>
        <v>0</v>
      </c>
    </row>
    <row r="82" spans="1:12" x14ac:dyDescent="0.3">
      <c r="A82" s="1309">
        <v>2</v>
      </c>
      <c r="B82" s="1383" t="str">
        <f t="shared" si="13"/>
        <v/>
      </c>
      <c r="C82" s="1383" t="str">
        <f t="shared" si="14"/>
        <v/>
      </c>
      <c r="D82" s="1284"/>
      <c r="E82" s="1284"/>
      <c r="F82" s="1284"/>
      <c r="G82" s="1284"/>
      <c r="H82" s="1284"/>
      <c r="I82" s="1284"/>
      <c r="J82" s="1284"/>
      <c r="K82" s="1284"/>
      <c r="L82" s="1315">
        <f t="shared" si="12"/>
        <v>0</v>
      </c>
    </row>
    <row r="83" spans="1:12" x14ac:dyDescent="0.3">
      <c r="A83" s="1309">
        <v>2</v>
      </c>
      <c r="B83" s="1383" t="str">
        <f t="shared" si="13"/>
        <v/>
      </c>
      <c r="C83" s="1383" t="str">
        <f t="shared" si="14"/>
        <v/>
      </c>
      <c r="D83" s="1284"/>
      <c r="E83" s="1284"/>
      <c r="F83" s="1284"/>
      <c r="G83" s="1284"/>
      <c r="H83" s="1284"/>
      <c r="I83" s="1284"/>
      <c r="J83" s="1284"/>
      <c r="K83" s="1284"/>
      <c r="L83" s="1315">
        <f t="shared" si="12"/>
        <v>0</v>
      </c>
    </row>
    <row r="84" spans="1:12" x14ac:dyDescent="0.3">
      <c r="A84" s="1309">
        <v>2</v>
      </c>
      <c r="B84" s="1383" t="str">
        <f t="shared" si="13"/>
        <v/>
      </c>
      <c r="C84" s="1383" t="str">
        <f t="shared" si="14"/>
        <v/>
      </c>
      <c r="D84" s="1284"/>
      <c r="E84" s="1284"/>
      <c r="F84" s="1284"/>
      <c r="G84" s="1284"/>
      <c r="H84" s="1284"/>
      <c r="I84" s="1284"/>
      <c r="J84" s="1284"/>
      <c r="K84" s="1284"/>
      <c r="L84" s="1315">
        <f t="shared" si="12"/>
        <v>0</v>
      </c>
    </row>
    <row r="85" spans="1:12" x14ac:dyDescent="0.3">
      <c r="A85" s="1309">
        <v>2</v>
      </c>
      <c r="B85" s="1383" t="str">
        <f t="shared" si="13"/>
        <v/>
      </c>
      <c r="C85" s="1383" t="str">
        <f t="shared" si="14"/>
        <v/>
      </c>
      <c r="D85" s="1284"/>
      <c r="E85" s="1284"/>
      <c r="F85" s="1284"/>
      <c r="G85" s="1284"/>
      <c r="H85" s="1284"/>
      <c r="I85" s="1284"/>
      <c r="J85" s="1284"/>
      <c r="K85" s="1284"/>
      <c r="L85" s="1315">
        <f t="shared" si="12"/>
        <v>0</v>
      </c>
    </row>
    <row r="86" spans="1:12" x14ac:dyDescent="0.3">
      <c r="A86" s="1309">
        <v>2</v>
      </c>
      <c r="B86" s="1383" t="str">
        <f>IF(N65="","",_xlfn.CONCAT("SUT-",N65))</f>
        <v/>
      </c>
      <c r="C86" s="1383" t="str">
        <f t="shared" si="14"/>
        <v/>
      </c>
      <c r="D86" s="1284"/>
      <c r="E86" s="1284"/>
      <c r="F86" s="1284"/>
      <c r="G86" s="1284"/>
      <c r="H86" s="1284"/>
      <c r="I86" s="1284"/>
      <c r="J86" s="1284"/>
      <c r="K86" s="1284"/>
      <c r="L86" s="1299">
        <f t="shared" si="12"/>
        <v>0</v>
      </c>
    </row>
    <row r="87" spans="1:12" x14ac:dyDescent="0.3">
      <c r="A87" s="1309">
        <v>2</v>
      </c>
      <c r="B87" s="1383" t="str">
        <f t="shared" si="13"/>
        <v/>
      </c>
      <c r="C87" s="1383" t="str">
        <f t="shared" si="14"/>
        <v/>
      </c>
      <c r="D87" s="1284"/>
      <c r="E87" s="1284"/>
      <c r="F87" s="1284"/>
      <c r="G87" s="1284"/>
      <c r="H87" s="1284"/>
      <c r="I87" s="1284"/>
      <c r="J87" s="1284"/>
      <c r="K87" s="1284"/>
      <c r="L87" s="1299">
        <f t="shared" si="12"/>
        <v>0</v>
      </c>
    </row>
    <row r="88" spans="1:12" x14ac:dyDescent="0.3">
      <c r="A88" s="1309">
        <v>2</v>
      </c>
      <c r="B88" s="1383" t="str">
        <f t="shared" si="13"/>
        <v/>
      </c>
      <c r="C88" s="1383" t="str">
        <f t="shared" si="14"/>
        <v/>
      </c>
      <c r="D88" s="1284"/>
      <c r="E88" s="1284"/>
      <c r="F88" s="1284"/>
      <c r="G88" s="1284"/>
      <c r="H88" s="1284"/>
      <c r="I88" s="1284"/>
      <c r="J88" s="1284"/>
      <c r="K88" s="1284"/>
      <c r="L88" s="1299">
        <f t="shared" si="12"/>
        <v>0</v>
      </c>
    </row>
    <row r="89" spans="1:12" x14ac:dyDescent="0.3">
      <c r="A89" s="1309">
        <v>2</v>
      </c>
      <c r="B89" s="1383" t="str">
        <f t="shared" si="13"/>
        <v/>
      </c>
      <c r="C89" s="1383" t="str">
        <f t="shared" si="14"/>
        <v/>
      </c>
      <c r="D89" s="1284"/>
      <c r="E89" s="1284"/>
      <c r="F89" s="1284"/>
      <c r="G89" s="1284"/>
      <c r="H89" s="1284"/>
      <c r="I89" s="1284"/>
      <c r="J89" s="1284"/>
      <c r="K89" s="1284"/>
      <c r="L89" s="1299">
        <f t="shared" ref="L89:L99" si="15">+SUM(D89:K89)</f>
        <v>0</v>
      </c>
    </row>
    <row r="90" spans="1:12" x14ac:dyDescent="0.3">
      <c r="A90" s="1309">
        <v>2</v>
      </c>
      <c r="B90" s="1383" t="str">
        <f t="shared" si="13"/>
        <v/>
      </c>
      <c r="C90" s="1383" t="str">
        <f t="shared" si="14"/>
        <v/>
      </c>
      <c r="D90" s="1284"/>
      <c r="E90" s="1284"/>
      <c r="F90" s="1284"/>
      <c r="G90" s="1284"/>
      <c r="H90" s="1284"/>
      <c r="I90" s="1284"/>
      <c r="J90" s="1284"/>
      <c r="K90" s="1284"/>
      <c r="L90" s="1299">
        <f t="shared" si="15"/>
        <v>0</v>
      </c>
    </row>
    <row r="91" spans="1:12" x14ac:dyDescent="0.3">
      <c r="A91" s="1309">
        <v>2</v>
      </c>
      <c r="B91" s="1383" t="str">
        <f t="shared" si="13"/>
        <v/>
      </c>
      <c r="C91" s="1383" t="str">
        <f t="shared" si="14"/>
        <v/>
      </c>
      <c r="D91" s="1284"/>
      <c r="E91" s="1284"/>
      <c r="F91" s="1284"/>
      <c r="G91" s="1284"/>
      <c r="H91" s="1284"/>
      <c r="I91" s="1284"/>
      <c r="J91" s="1284"/>
      <c r="K91" s="1284"/>
      <c r="L91" s="1299">
        <f t="shared" si="15"/>
        <v>0</v>
      </c>
    </row>
    <row r="92" spans="1:12" x14ac:dyDescent="0.3">
      <c r="A92" s="1309">
        <v>2</v>
      </c>
      <c r="B92" s="1383" t="str">
        <f t="shared" si="13"/>
        <v/>
      </c>
      <c r="C92" s="1383" t="str">
        <f t="shared" si="14"/>
        <v/>
      </c>
      <c r="D92" s="1284"/>
      <c r="E92" s="1284"/>
      <c r="F92" s="1284"/>
      <c r="G92" s="1284"/>
      <c r="H92" s="1284"/>
      <c r="I92" s="1284"/>
      <c r="J92" s="1284"/>
      <c r="K92" s="1284"/>
      <c r="L92" s="1299">
        <f t="shared" si="15"/>
        <v>0</v>
      </c>
    </row>
    <row r="93" spans="1:12" x14ac:dyDescent="0.3">
      <c r="A93" s="1309">
        <v>2</v>
      </c>
      <c r="B93" s="1383" t="str">
        <f t="shared" si="13"/>
        <v/>
      </c>
      <c r="C93" s="1383" t="str">
        <f t="shared" si="14"/>
        <v/>
      </c>
      <c r="D93" s="1284"/>
      <c r="E93" s="1284"/>
      <c r="F93" s="1284"/>
      <c r="G93" s="1284"/>
      <c r="H93" s="1284"/>
      <c r="I93" s="1284"/>
      <c r="J93" s="1284"/>
      <c r="K93" s="1284"/>
      <c r="L93" s="1299">
        <f t="shared" si="15"/>
        <v>0</v>
      </c>
    </row>
    <row r="94" spans="1:12" x14ac:dyDescent="0.3">
      <c r="A94" s="1309">
        <v>2</v>
      </c>
      <c r="B94" s="1383" t="str">
        <f t="shared" si="13"/>
        <v/>
      </c>
      <c r="C94" s="1383" t="str">
        <f t="shared" si="14"/>
        <v/>
      </c>
      <c r="D94" s="1284"/>
      <c r="E94" s="1284"/>
      <c r="F94" s="1284"/>
      <c r="G94" s="1284"/>
      <c r="H94" s="1284"/>
      <c r="I94" s="1284"/>
      <c r="J94" s="1284"/>
      <c r="K94" s="1284"/>
      <c r="L94" s="1299">
        <f t="shared" si="15"/>
        <v>0</v>
      </c>
    </row>
    <row r="95" spans="1:12" x14ac:dyDescent="0.3">
      <c r="A95" s="1309">
        <v>2</v>
      </c>
      <c r="B95" s="1383" t="str">
        <f t="shared" si="13"/>
        <v/>
      </c>
      <c r="C95" s="1383" t="str">
        <f t="shared" si="14"/>
        <v/>
      </c>
      <c r="D95" s="1284"/>
      <c r="E95" s="1284"/>
      <c r="F95" s="1284"/>
      <c r="G95" s="1284"/>
      <c r="H95" s="1284"/>
      <c r="I95" s="1284"/>
      <c r="J95" s="1284"/>
      <c r="K95" s="1284"/>
      <c r="L95" s="1299">
        <f t="shared" si="15"/>
        <v>0</v>
      </c>
    </row>
    <row r="96" spans="1:12" x14ac:dyDescent="0.3">
      <c r="A96" s="1309">
        <v>2</v>
      </c>
      <c r="B96" s="1383" t="str">
        <f t="shared" si="13"/>
        <v/>
      </c>
      <c r="C96" s="1383" t="str">
        <f t="shared" si="14"/>
        <v/>
      </c>
      <c r="D96" s="1284"/>
      <c r="E96" s="1284"/>
      <c r="F96" s="1284"/>
      <c r="G96" s="1284"/>
      <c r="H96" s="1284"/>
      <c r="I96" s="1284"/>
      <c r="J96" s="1284"/>
      <c r="K96" s="1284"/>
      <c r="L96" s="1299">
        <f t="shared" si="15"/>
        <v>0</v>
      </c>
    </row>
    <row r="97" spans="1:12" x14ac:dyDescent="0.3">
      <c r="A97" s="1309">
        <v>2</v>
      </c>
      <c r="B97" s="1383" t="str">
        <f t="shared" si="13"/>
        <v/>
      </c>
      <c r="C97" s="1383" t="str">
        <f t="shared" si="14"/>
        <v/>
      </c>
      <c r="D97" s="1284"/>
      <c r="E97" s="1284"/>
      <c r="F97" s="1284"/>
      <c r="G97" s="1284"/>
      <c r="H97" s="1284"/>
      <c r="I97" s="1284"/>
      <c r="J97" s="1284"/>
      <c r="K97" s="1284"/>
      <c r="L97" s="1299">
        <f t="shared" si="15"/>
        <v>0</v>
      </c>
    </row>
    <row r="98" spans="1:12" x14ac:dyDescent="0.3">
      <c r="A98" s="1309">
        <v>2</v>
      </c>
      <c r="B98" s="1383" t="str">
        <f t="shared" si="13"/>
        <v/>
      </c>
      <c r="C98" s="1383" t="str">
        <f t="shared" si="14"/>
        <v/>
      </c>
      <c r="D98" s="1284"/>
      <c r="E98" s="1284"/>
      <c r="F98" s="1284"/>
      <c r="G98" s="1284"/>
      <c r="H98" s="1284"/>
      <c r="I98" s="1284"/>
      <c r="J98" s="1284"/>
      <c r="K98" s="1284"/>
      <c r="L98" s="1299">
        <f t="shared" si="15"/>
        <v>0</v>
      </c>
    </row>
    <row r="99" spans="1:12" x14ac:dyDescent="0.3">
      <c r="A99" s="1309">
        <v>2</v>
      </c>
      <c r="B99" s="1383" t="str">
        <f t="shared" si="13"/>
        <v/>
      </c>
      <c r="C99" s="1383" t="str">
        <f t="shared" si="14"/>
        <v/>
      </c>
      <c r="D99" s="1284"/>
      <c r="E99" s="1284"/>
      <c r="F99" s="1284"/>
      <c r="G99" s="1284"/>
      <c r="H99" s="1284"/>
      <c r="I99" s="1284"/>
      <c r="J99" s="1284"/>
      <c r="K99" s="1284"/>
      <c r="L99" s="1299">
        <f t="shared" si="15"/>
        <v>0</v>
      </c>
    </row>
    <row r="100" spans="1:12" ht="13.2" x14ac:dyDescent="0.25">
      <c r="A100"/>
      <c r="B100"/>
      <c r="C100"/>
      <c r="D100"/>
      <c r="E100"/>
      <c r="F100"/>
      <c r="G100"/>
      <c r="H100"/>
      <c r="I100"/>
      <c r="J100"/>
      <c r="K100"/>
      <c r="L100"/>
    </row>
    <row r="101" spans="1:12" x14ac:dyDescent="0.3">
      <c r="A101" s="1307">
        <v>3</v>
      </c>
      <c r="B101" s="1302">
        <f>+C8</f>
        <v>0</v>
      </c>
      <c r="C101" s="1378" t="s">
        <v>1422</v>
      </c>
      <c r="D101" s="1284"/>
      <c r="E101" s="1284"/>
      <c r="F101" s="1284"/>
      <c r="G101" s="1284"/>
      <c r="H101" s="1284"/>
      <c r="I101" s="1284"/>
      <c r="J101" s="1284"/>
      <c r="K101" s="1284"/>
      <c r="L101" s="1299">
        <f t="shared" ref="L101" si="16">+SUM(D101:K101)</f>
        <v>0</v>
      </c>
    </row>
    <row r="102" spans="1:12" x14ac:dyDescent="0.3">
      <c r="A102" s="1310">
        <v>3</v>
      </c>
      <c r="B102" s="1305" t="str">
        <f t="shared" ref="B102:B121" si="17">+$C$101</f>
        <v>CCP-CASE-0390-C</v>
      </c>
      <c r="C102" s="1384" t="s">
        <v>1423</v>
      </c>
      <c r="D102" s="1284"/>
      <c r="E102" s="1284"/>
      <c r="F102" s="1284"/>
      <c r="G102" s="1284"/>
      <c r="H102" s="1284"/>
      <c r="I102" s="1284"/>
      <c r="J102" s="1284"/>
      <c r="K102" s="1284"/>
      <c r="L102" s="1299">
        <f t="shared" ref="L102" si="18">+SUM(D102:K102)</f>
        <v>0</v>
      </c>
    </row>
    <row r="103" spans="1:12" x14ac:dyDescent="0.3">
      <c r="A103" s="1310">
        <v>3</v>
      </c>
      <c r="B103" s="1305" t="str">
        <f t="shared" si="17"/>
        <v>CCP-CASE-0390-C</v>
      </c>
      <c r="C103" s="1384" t="s">
        <v>1424</v>
      </c>
      <c r="D103" s="1284"/>
      <c r="E103" s="1284"/>
      <c r="F103" s="1284"/>
      <c r="G103" s="1284"/>
      <c r="H103" s="1284"/>
      <c r="I103" s="1284"/>
      <c r="J103" s="1284"/>
      <c r="K103" s="1284"/>
      <c r="L103" s="1299">
        <f t="shared" ref="L103:L114" si="19">+SUM(D103:K103)</f>
        <v>0</v>
      </c>
    </row>
    <row r="104" spans="1:12" x14ac:dyDescent="0.3">
      <c r="A104" s="1310">
        <v>3</v>
      </c>
      <c r="B104" s="1305" t="str">
        <f t="shared" si="17"/>
        <v>CCP-CASE-0390-C</v>
      </c>
      <c r="C104" s="1384" t="s">
        <v>1425</v>
      </c>
      <c r="D104" s="1284"/>
      <c r="E104" s="1284"/>
      <c r="F104" s="1284"/>
      <c r="G104" s="1284"/>
      <c r="H104" s="1284"/>
      <c r="I104" s="1284"/>
      <c r="J104" s="1284"/>
      <c r="K104" s="1284"/>
      <c r="L104" s="1299">
        <f t="shared" si="19"/>
        <v>0</v>
      </c>
    </row>
    <row r="105" spans="1:12" x14ac:dyDescent="0.3">
      <c r="A105" s="1310">
        <v>3</v>
      </c>
      <c r="B105" s="1305" t="str">
        <f t="shared" si="17"/>
        <v>CCP-CASE-0390-C</v>
      </c>
      <c r="C105" s="1384" t="s">
        <v>1426</v>
      </c>
      <c r="D105" s="1284"/>
      <c r="E105" s="1284"/>
      <c r="F105" s="1284"/>
      <c r="G105" s="1284"/>
      <c r="H105" s="1284"/>
      <c r="I105" s="1284"/>
      <c r="J105" s="1284"/>
      <c r="K105" s="1284"/>
      <c r="L105" s="1299">
        <f t="shared" si="19"/>
        <v>0</v>
      </c>
    </row>
    <row r="106" spans="1:12" x14ac:dyDescent="0.3">
      <c r="A106" s="1310">
        <v>3</v>
      </c>
      <c r="B106" s="1305" t="str">
        <f t="shared" si="17"/>
        <v>CCP-CASE-0390-C</v>
      </c>
      <c r="C106" s="1384" t="s">
        <v>1427</v>
      </c>
      <c r="D106" s="1284"/>
      <c r="E106" s="1284"/>
      <c r="F106" s="1284"/>
      <c r="G106" s="1284"/>
      <c r="H106" s="1284"/>
      <c r="I106" s="1284"/>
      <c r="J106" s="1284"/>
      <c r="K106" s="1284"/>
      <c r="L106" s="1299">
        <f t="shared" si="19"/>
        <v>0</v>
      </c>
    </row>
    <row r="107" spans="1:12" x14ac:dyDescent="0.3">
      <c r="A107" s="1310">
        <v>3</v>
      </c>
      <c r="B107" s="1305" t="str">
        <f t="shared" si="17"/>
        <v>CCP-CASE-0390-C</v>
      </c>
      <c r="C107" s="1384" t="s">
        <v>1428</v>
      </c>
      <c r="D107" s="1284"/>
      <c r="E107" s="1284"/>
      <c r="F107" s="1284"/>
      <c r="G107" s="1284"/>
      <c r="H107" s="1284"/>
      <c r="I107" s="1284"/>
      <c r="J107" s="1284"/>
      <c r="K107" s="1284"/>
      <c r="L107" s="1299">
        <f t="shared" si="19"/>
        <v>0</v>
      </c>
    </row>
    <row r="108" spans="1:12" x14ac:dyDescent="0.3">
      <c r="A108" s="1310">
        <v>3</v>
      </c>
      <c r="B108" s="1305" t="str">
        <f t="shared" si="17"/>
        <v>CCP-CASE-0390-C</v>
      </c>
      <c r="C108" s="1384" t="s">
        <v>1429</v>
      </c>
      <c r="D108" s="1284"/>
      <c r="E108" s="1284"/>
      <c r="F108" s="1284"/>
      <c r="G108" s="1284"/>
      <c r="H108" s="1284"/>
      <c r="I108" s="1284"/>
      <c r="J108" s="1284"/>
      <c r="K108" s="1284"/>
      <c r="L108" s="1299">
        <f t="shared" si="19"/>
        <v>0</v>
      </c>
    </row>
    <row r="109" spans="1:12" x14ac:dyDescent="0.3">
      <c r="A109" s="1310">
        <v>3</v>
      </c>
      <c r="B109" s="1305" t="str">
        <f t="shared" si="17"/>
        <v>CCP-CASE-0390-C</v>
      </c>
      <c r="C109" s="1384" t="s">
        <v>1430</v>
      </c>
      <c r="D109" s="1284"/>
      <c r="E109" s="1284"/>
      <c r="F109" s="1284"/>
      <c r="G109" s="1284"/>
      <c r="H109" s="1284"/>
      <c r="I109" s="1284"/>
      <c r="J109" s="1284"/>
      <c r="K109" s="1284"/>
      <c r="L109" s="1299">
        <f t="shared" si="19"/>
        <v>0</v>
      </c>
    </row>
    <row r="110" spans="1:12" x14ac:dyDescent="0.3">
      <c r="A110" s="1310">
        <v>3</v>
      </c>
      <c r="B110" s="1305" t="str">
        <f t="shared" si="17"/>
        <v>CCP-CASE-0390-C</v>
      </c>
      <c r="C110" s="1384" t="s">
        <v>1431</v>
      </c>
      <c r="D110" s="1284"/>
      <c r="E110" s="1284"/>
      <c r="F110" s="1284"/>
      <c r="G110" s="1284"/>
      <c r="H110" s="1284"/>
      <c r="I110" s="1284"/>
      <c r="J110" s="1284"/>
      <c r="K110" s="1284"/>
      <c r="L110" s="1299">
        <f t="shared" si="19"/>
        <v>0</v>
      </c>
    </row>
    <row r="111" spans="1:12" x14ac:dyDescent="0.3">
      <c r="A111" s="1310">
        <v>3</v>
      </c>
      <c r="B111" s="1305" t="str">
        <f t="shared" si="17"/>
        <v>CCP-CASE-0390-C</v>
      </c>
      <c r="C111" s="1384" t="s">
        <v>1432</v>
      </c>
      <c r="D111" s="1284"/>
      <c r="E111" s="1284"/>
      <c r="F111" s="1284"/>
      <c r="G111" s="1284"/>
      <c r="H111" s="1284"/>
      <c r="I111" s="1284"/>
      <c r="J111" s="1284"/>
      <c r="K111" s="1284"/>
      <c r="L111" s="1299">
        <f t="shared" si="19"/>
        <v>0</v>
      </c>
    </row>
    <row r="112" spans="1:12" x14ac:dyDescent="0.3">
      <c r="A112" s="1310">
        <v>3</v>
      </c>
      <c r="B112" s="1305" t="str">
        <f t="shared" si="17"/>
        <v>CCP-CASE-0390-C</v>
      </c>
      <c r="C112" s="1384" t="s">
        <v>1433</v>
      </c>
      <c r="D112" s="1284"/>
      <c r="E112" s="1284"/>
      <c r="F112" s="1284"/>
      <c r="G112" s="1284"/>
      <c r="H112" s="1284"/>
      <c r="I112" s="1284"/>
      <c r="J112" s="1284"/>
      <c r="K112" s="1284"/>
      <c r="L112" s="1299">
        <f t="shared" si="19"/>
        <v>0</v>
      </c>
    </row>
    <row r="113" spans="1:12" x14ac:dyDescent="0.3">
      <c r="A113" s="1310">
        <v>3</v>
      </c>
      <c r="B113" s="1305" t="str">
        <f t="shared" si="17"/>
        <v>CCP-CASE-0390-C</v>
      </c>
      <c r="C113" s="1384" t="s">
        <v>1434</v>
      </c>
      <c r="D113" s="1284"/>
      <c r="E113" s="1284"/>
      <c r="F113" s="1284"/>
      <c r="G113" s="1284"/>
      <c r="H113" s="1284"/>
      <c r="I113" s="1284"/>
      <c r="J113" s="1284"/>
      <c r="K113" s="1284"/>
      <c r="L113" s="1299">
        <f t="shared" si="19"/>
        <v>0</v>
      </c>
    </row>
    <row r="114" spans="1:12" x14ac:dyDescent="0.3">
      <c r="A114" s="1310">
        <v>3</v>
      </c>
      <c r="B114" s="1305" t="str">
        <f t="shared" si="17"/>
        <v>CCP-CASE-0390-C</v>
      </c>
      <c r="C114" s="1384" t="s">
        <v>1435</v>
      </c>
      <c r="D114" s="1284"/>
      <c r="E114" s="1284"/>
      <c r="F114" s="1284"/>
      <c r="G114" s="1284"/>
      <c r="H114" s="1284"/>
      <c r="I114" s="1284"/>
      <c r="J114" s="1284"/>
      <c r="K114" s="1284"/>
      <c r="L114" s="1299">
        <f t="shared" si="19"/>
        <v>0</v>
      </c>
    </row>
    <row r="115" spans="1:12" x14ac:dyDescent="0.3">
      <c r="A115" s="1310">
        <v>3</v>
      </c>
      <c r="B115" s="1305" t="str">
        <f t="shared" si="17"/>
        <v>CCP-CASE-0390-C</v>
      </c>
      <c r="C115" s="1384" t="s">
        <v>1436</v>
      </c>
      <c r="D115" s="1284"/>
      <c r="E115" s="1284"/>
      <c r="F115" s="1284"/>
      <c r="G115" s="1284"/>
      <c r="H115" s="1284"/>
      <c r="I115" s="1284"/>
      <c r="J115" s="1284"/>
      <c r="K115" s="1284"/>
      <c r="L115" s="1299">
        <f t="shared" ref="L115:L121" si="20">+SUM(D115:K115)</f>
        <v>0</v>
      </c>
    </row>
    <row r="116" spans="1:12" x14ac:dyDescent="0.3">
      <c r="A116" s="1310">
        <v>3</v>
      </c>
      <c r="B116" s="1305" t="str">
        <f t="shared" si="17"/>
        <v>CCP-CASE-0390-C</v>
      </c>
      <c r="C116" s="1384" t="s">
        <v>1437</v>
      </c>
      <c r="D116" s="1284"/>
      <c r="E116" s="1284"/>
      <c r="F116" s="1284"/>
      <c r="G116" s="1284"/>
      <c r="H116" s="1284"/>
      <c r="I116" s="1284"/>
      <c r="J116" s="1284"/>
      <c r="K116" s="1284"/>
      <c r="L116" s="1299">
        <f t="shared" si="20"/>
        <v>0</v>
      </c>
    </row>
    <row r="117" spans="1:12" x14ac:dyDescent="0.3">
      <c r="A117" s="1310">
        <v>3</v>
      </c>
      <c r="B117" s="1305" t="str">
        <f t="shared" si="17"/>
        <v>CCP-CASE-0390-C</v>
      </c>
      <c r="C117" s="1384" t="s">
        <v>1438</v>
      </c>
      <c r="D117" s="1284"/>
      <c r="E117" s="1284"/>
      <c r="F117" s="1284"/>
      <c r="G117" s="1284"/>
      <c r="H117" s="1284"/>
      <c r="I117" s="1284"/>
      <c r="J117" s="1284"/>
      <c r="K117" s="1284"/>
      <c r="L117" s="1299">
        <f t="shared" si="20"/>
        <v>0</v>
      </c>
    </row>
    <row r="118" spans="1:12" x14ac:dyDescent="0.3">
      <c r="A118" s="1310">
        <v>3</v>
      </c>
      <c r="B118" s="1305" t="str">
        <f t="shared" si="17"/>
        <v>CCP-CASE-0390-C</v>
      </c>
      <c r="C118" s="1384" t="s">
        <v>1439</v>
      </c>
      <c r="D118" s="1284"/>
      <c r="E118" s="1284"/>
      <c r="F118" s="1284"/>
      <c r="G118" s="1284"/>
      <c r="H118" s="1284"/>
      <c r="I118" s="1284"/>
      <c r="J118" s="1284"/>
      <c r="K118" s="1284"/>
      <c r="L118" s="1299">
        <f t="shared" si="20"/>
        <v>0</v>
      </c>
    </row>
    <row r="119" spans="1:12" x14ac:dyDescent="0.3">
      <c r="A119" s="1310">
        <v>3</v>
      </c>
      <c r="B119" s="1305" t="str">
        <f t="shared" si="17"/>
        <v>CCP-CASE-0390-C</v>
      </c>
      <c r="C119" s="1384" t="s">
        <v>1440</v>
      </c>
      <c r="D119" s="1284"/>
      <c r="E119" s="1284"/>
      <c r="F119" s="1284"/>
      <c r="G119" s="1284"/>
      <c r="H119" s="1284"/>
      <c r="I119" s="1284"/>
      <c r="J119" s="1284"/>
      <c r="K119" s="1284"/>
      <c r="L119" s="1299">
        <f t="shared" si="20"/>
        <v>0</v>
      </c>
    </row>
    <row r="120" spans="1:12" x14ac:dyDescent="0.3">
      <c r="A120" s="1310">
        <v>3</v>
      </c>
      <c r="B120" s="1305" t="str">
        <f t="shared" si="17"/>
        <v>CCP-CASE-0390-C</v>
      </c>
      <c r="C120" s="1384" t="s">
        <v>1441</v>
      </c>
      <c r="D120" s="1284"/>
      <c r="E120" s="1284"/>
      <c r="F120" s="1284"/>
      <c r="G120" s="1284"/>
      <c r="H120" s="1284"/>
      <c r="I120" s="1284"/>
      <c r="J120" s="1284"/>
      <c r="K120" s="1284"/>
      <c r="L120" s="1299">
        <f t="shared" si="20"/>
        <v>0</v>
      </c>
    </row>
    <row r="121" spans="1:12" x14ac:dyDescent="0.3">
      <c r="A121" s="1310">
        <v>3</v>
      </c>
      <c r="B121" s="1305" t="str">
        <f t="shared" si="17"/>
        <v>CCP-CASE-0390-C</v>
      </c>
      <c r="C121" s="1384" t="s">
        <v>1442</v>
      </c>
      <c r="D121" s="1284"/>
      <c r="E121" s="1284"/>
      <c r="F121" s="1284"/>
      <c r="G121" s="1284"/>
      <c r="H121" s="1284"/>
      <c r="I121" s="1284"/>
      <c r="J121" s="1284"/>
      <c r="K121" s="1284"/>
      <c r="L121" s="1299">
        <f t="shared" si="20"/>
        <v>0</v>
      </c>
    </row>
    <row r="122" spans="1:12" ht="13.2" x14ac:dyDescent="0.25">
      <c r="A122"/>
      <c r="B122"/>
      <c r="C122"/>
      <c r="D122"/>
      <c r="E122"/>
      <c r="F122"/>
      <c r="G122"/>
      <c r="H122"/>
      <c r="I122"/>
      <c r="J122"/>
      <c r="K122"/>
      <c r="L122"/>
    </row>
    <row r="123" spans="1:12" x14ac:dyDescent="0.3">
      <c r="A123" s="1310">
        <v>3</v>
      </c>
      <c r="B123" s="1384" t="s">
        <v>1443</v>
      </c>
      <c r="C123" s="1384" t="s">
        <v>1444</v>
      </c>
      <c r="D123" s="1284"/>
      <c r="E123" s="1284"/>
      <c r="F123" s="1284"/>
      <c r="G123" s="1284"/>
      <c r="H123" s="1284"/>
      <c r="I123" s="1284"/>
      <c r="J123" s="1284"/>
      <c r="K123" s="1284"/>
      <c r="L123" s="1299">
        <f t="shared" ref="L123:L142" si="21">+SUM(D123:K123)</f>
        <v>0</v>
      </c>
    </row>
    <row r="124" spans="1:12" x14ac:dyDescent="0.3">
      <c r="A124" s="1310">
        <v>3</v>
      </c>
      <c r="B124" s="1384" t="s">
        <v>1445</v>
      </c>
      <c r="C124" s="1384" t="s">
        <v>1446</v>
      </c>
      <c r="D124" s="1284"/>
      <c r="E124" s="1284"/>
      <c r="F124" s="1284"/>
      <c r="G124" s="1284"/>
      <c r="H124" s="1284"/>
      <c r="I124" s="1284"/>
      <c r="J124" s="1284"/>
      <c r="K124" s="1284"/>
      <c r="L124" s="1299">
        <f t="shared" si="21"/>
        <v>0</v>
      </c>
    </row>
    <row r="125" spans="1:12" x14ac:dyDescent="0.3">
      <c r="A125" s="1310">
        <v>3</v>
      </c>
      <c r="B125" s="1384" t="s">
        <v>1447</v>
      </c>
      <c r="C125" s="1384" t="s">
        <v>1448</v>
      </c>
      <c r="D125" s="1284"/>
      <c r="E125" s="1284"/>
      <c r="F125" s="1284"/>
      <c r="G125" s="1284"/>
      <c r="H125" s="1284"/>
      <c r="I125" s="1284"/>
      <c r="J125" s="1284"/>
      <c r="K125" s="1284"/>
      <c r="L125" s="1299">
        <f t="shared" si="21"/>
        <v>0</v>
      </c>
    </row>
    <row r="126" spans="1:12" x14ac:dyDescent="0.3">
      <c r="A126" s="1310">
        <v>3</v>
      </c>
      <c r="B126" s="1384" t="s">
        <v>1449</v>
      </c>
      <c r="C126" s="1384" t="s">
        <v>1450</v>
      </c>
      <c r="D126" s="1284"/>
      <c r="E126" s="1284"/>
      <c r="F126" s="1284"/>
      <c r="G126" s="1284"/>
      <c r="H126" s="1284"/>
      <c r="I126" s="1284"/>
      <c r="J126" s="1284"/>
      <c r="K126" s="1284"/>
      <c r="L126" s="1299">
        <f t="shared" si="21"/>
        <v>0</v>
      </c>
    </row>
    <row r="127" spans="1:12" x14ac:dyDescent="0.3">
      <c r="A127" s="1310">
        <v>3</v>
      </c>
      <c r="B127" s="1384" t="s">
        <v>1451</v>
      </c>
      <c r="C127" s="1384" t="s">
        <v>1452</v>
      </c>
      <c r="D127" s="1284"/>
      <c r="E127" s="1284"/>
      <c r="F127" s="1284"/>
      <c r="G127" s="1284"/>
      <c r="H127" s="1284"/>
      <c r="I127" s="1284"/>
      <c r="J127" s="1284"/>
      <c r="K127" s="1284"/>
      <c r="L127" s="1299">
        <f t="shared" si="21"/>
        <v>0</v>
      </c>
    </row>
    <row r="128" spans="1:12" x14ac:dyDescent="0.3">
      <c r="A128" s="1310">
        <v>3</v>
      </c>
      <c r="B128" s="1384" t="s">
        <v>1453</v>
      </c>
      <c r="C128" s="1384" t="s">
        <v>1454</v>
      </c>
      <c r="D128" s="1284"/>
      <c r="E128" s="1284"/>
      <c r="F128" s="1284"/>
      <c r="G128" s="1284"/>
      <c r="H128" s="1284"/>
      <c r="I128" s="1284"/>
      <c r="J128" s="1284"/>
      <c r="K128" s="1284"/>
      <c r="L128" s="1299">
        <f t="shared" si="21"/>
        <v>0</v>
      </c>
    </row>
    <row r="129" spans="1:12" x14ac:dyDescent="0.3">
      <c r="A129" s="1310">
        <v>3</v>
      </c>
      <c r="B129" s="1384" t="s">
        <v>1455</v>
      </c>
      <c r="C129" s="1384" t="s">
        <v>1456</v>
      </c>
      <c r="D129" s="1284"/>
      <c r="E129" s="1284"/>
      <c r="F129" s="1284"/>
      <c r="G129" s="1284"/>
      <c r="H129" s="1284"/>
      <c r="I129" s="1284"/>
      <c r="J129" s="1284"/>
      <c r="K129" s="1284"/>
      <c r="L129" s="1299">
        <f t="shared" si="21"/>
        <v>0</v>
      </c>
    </row>
    <row r="130" spans="1:12" x14ac:dyDescent="0.3">
      <c r="A130" s="1310">
        <v>3</v>
      </c>
      <c r="B130" s="1384" t="s">
        <v>1457</v>
      </c>
      <c r="C130" s="1384" t="s">
        <v>1458</v>
      </c>
      <c r="D130" s="1284"/>
      <c r="E130" s="1284"/>
      <c r="F130" s="1284"/>
      <c r="G130" s="1284"/>
      <c r="H130" s="1284"/>
      <c r="I130" s="1284"/>
      <c r="J130" s="1284"/>
      <c r="K130" s="1284"/>
      <c r="L130" s="1299">
        <f t="shared" si="21"/>
        <v>0</v>
      </c>
    </row>
    <row r="131" spans="1:12" x14ac:dyDescent="0.3">
      <c r="A131" s="1310">
        <v>3</v>
      </c>
      <c r="B131" s="1384" t="s">
        <v>1459</v>
      </c>
      <c r="C131" s="1384" t="s">
        <v>1460</v>
      </c>
      <c r="D131" s="1284"/>
      <c r="E131" s="1284"/>
      <c r="F131" s="1284"/>
      <c r="G131" s="1284"/>
      <c r="H131" s="1284"/>
      <c r="I131" s="1284"/>
      <c r="J131" s="1284"/>
      <c r="K131" s="1284"/>
      <c r="L131" s="1299">
        <f t="shared" si="21"/>
        <v>0</v>
      </c>
    </row>
    <row r="132" spans="1:12" x14ac:dyDescent="0.3">
      <c r="A132" s="1310">
        <v>3</v>
      </c>
      <c r="B132" s="1384" t="s">
        <v>1461</v>
      </c>
      <c r="C132" s="1384" t="s">
        <v>1462</v>
      </c>
      <c r="D132" s="1284"/>
      <c r="E132" s="1284"/>
      <c r="F132" s="1284"/>
      <c r="G132" s="1284"/>
      <c r="H132" s="1284"/>
      <c r="I132" s="1284"/>
      <c r="J132" s="1284"/>
      <c r="K132" s="1284"/>
      <c r="L132" s="1299">
        <f t="shared" si="21"/>
        <v>0</v>
      </c>
    </row>
    <row r="133" spans="1:12" x14ac:dyDescent="0.3">
      <c r="A133" s="1310">
        <v>3</v>
      </c>
      <c r="B133" s="1384" t="s">
        <v>1463</v>
      </c>
      <c r="C133" s="1384" t="s">
        <v>1464</v>
      </c>
      <c r="D133" s="1284"/>
      <c r="E133" s="1284"/>
      <c r="F133" s="1284"/>
      <c r="G133" s="1284"/>
      <c r="H133" s="1284"/>
      <c r="I133" s="1284"/>
      <c r="J133" s="1284"/>
      <c r="K133" s="1284"/>
      <c r="L133" s="1299">
        <f t="shared" si="21"/>
        <v>0</v>
      </c>
    </row>
    <row r="134" spans="1:12" x14ac:dyDescent="0.3">
      <c r="A134" s="1310">
        <v>3</v>
      </c>
      <c r="B134" s="1384" t="s">
        <v>1465</v>
      </c>
      <c r="C134" s="1384" t="s">
        <v>1466</v>
      </c>
      <c r="D134" s="1284"/>
      <c r="E134" s="1284"/>
      <c r="F134" s="1284"/>
      <c r="G134" s="1284"/>
      <c r="H134" s="1284"/>
      <c r="I134" s="1284"/>
      <c r="J134" s="1284"/>
      <c r="K134" s="1284"/>
      <c r="L134" s="1299">
        <f t="shared" si="21"/>
        <v>0</v>
      </c>
    </row>
    <row r="135" spans="1:12" x14ac:dyDescent="0.3">
      <c r="A135" s="1310">
        <v>3</v>
      </c>
      <c r="B135" s="1384" t="s">
        <v>1467</v>
      </c>
      <c r="C135" s="1384" t="s">
        <v>1468</v>
      </c>
      <c r="D135" s="1284"/>
      <c r="E135" s="1284"/>
      <c r="F135" s="1284"/>
      <c r="G135" s="1284"/>
      <c r="H135" s="1284"/>
      <c r="I135" s="1284"/>
      <c r="J135" s="1284"/>
      <c r="K135" s="1284"/>
      <c r="L135" s="1299">
        <f t="shared" si="21"/>
        <v>0</v>
      </c>
    </row>
    <row r="136" spans="1:12" x14ac:dyDescent="0.3">
      <c r="A136" s="1310">
        <v>3</v>
      </c>
      <c r="B136" s="1384" t="s">
        <v>1469</v>
      </c>
      <c r="C136" s="1384" t="s">
        <v>1470</v>
      </c>
      <c r="D136" s="1284"/>
      <c r="E136" s="1284"/>
      <c r="F136" s="1284"/>
      <c r="G136" s="1284"/>
      <c r="H136" s="1284"/>
      <c r="I136" s="1284"/>
      <c r="J136" s="1284"/>
      <c r="K136" s="1284"/>
      <c r="L136" s="1299">
        <f t="shared" si="21"/>
        <v>0</v>
      </c>
    </row>
    <row r="137" spans="1:12" x14ac:dyDescent="0.3">
      <c r="A137" s="1310">
        <v>3</v>
      </c>
      <c r="B137" s="1384" t="s">
        <v>1471</v>
      </c>
      <c r="C137" s="1384" t="s">
        <v>1472</v>
      </c>
      <c r="D137" s="1284"/>
      <c r="E137" s="1284"/>
      <c r="F137" s="1284"/>
      <c r="G137" s="1284"/>
      <c r="H137" s="1284"/>
      <c r="I137" s="1284"/>
      <c r="J137" s="1284"/>
      <c r="K137" s="1284"/>
      <c r="L137" s="1299">
        <f t="shared" si="21"/>
        <v>0</v>
      </c>
    </row>
    <row r="138" spans="1:12" x14ac:dyDescent="0.3">
      <c r="A138" s="1310">
        <v>3</v>
      </c>
      <c r="B138" s="1384" t="s">
        <v>1473</v>
      </c>
      <c r="C138" s="1384" t="s">
        <v>1474</v>
      </c>
      <c r="D138" s="1284"/>
      <c r="E138" s="1284"/>
      <c r="F138" s="1284"/>
      <c r="G138" s="1284"/>
      <c r="H138" s="1284"/>
      <c r="I138" s="1284"/>
      <c r="J138" s="1284"/>
      <c r="K138" s="1284"/>
      <c r="L138" s="1299">
        <f t="shared" si="21"/>
        <v>0</v>
      </c>
    </row>
    <row r="139" spans="1:12" x14ac:dyDescent="0.3">
      <c r="A139" s="1310">
        <v>3</v>
      </c>
      <c r="B139" s="1384" t="s">
        <v>1475</v>
      </c>
      <c r="C139" s="1384" t="s">
        <v>1476</v>
      </c>
      <c r="D139" s="1284"/>
      <c r="E139" s="1284"/>
      <c r="F139" s="1284"/>
      <c r="G139" s="1284"/>
      <c r="H139" s="1284"/>
      <c r="I139" s="1284"/>
      <c r="J139" s="1284"/>
      <c r="K139" s="1284"/>
      <c r="L139" s="1299">
        <f t="shared" si="21"/>
        <v>0</v>
      </c>
    </row>
    <row r="140" spans="1:12" x14ac:dyDescent="0.3">
      <c r="A140" s="1310">
        <v>3</v>
      </c>
      <c r="B140" s="1384" t="s">
        <v>1477</v>
      </c>
      <c r="C140" s="1384" t="s">
        <v>1478</v>
      </c>
      <c r="D140" s="1284"/>
      <c r="E140" s="1284"/>
      <c r="F140" s="1284"/>
      <c r="G140" s="1284"/>
      <c r="H140" s="1284"/>
      <c r="I140" s="1284"/>
      <c r="J140" s="1284"/>
      <c r="K140" s="1284"/>
      <c r="L140" s="1299">
        <f t="shared" si="21"/>
        <v>0</v>
      </c>
    </row>
    <row r="141" spans="1:12" x14ac:dyDescent="0.3">
      <c r="A141" s="1310">
        <v>3</v>
      </c>
      <c r="B141" s="1384" t="s">
        <v>1479</v>
      </c>
      <c r="C141" s="1384" t="s">
        <v>1480</v>
      </c>
      <c r="D141" s="1284"/>
      <c r="E141" s="1284"/>
      <c r="F141" s="1284"/>
      <c r="G141" s="1284"/>
      <c r="H141" s="1284"/>
      <c r="I141" s="1284"/>
      <c r="J141" s="1284"/>
      <c r="K141" s="1284"/>
      <c r="L141" s="1299">
        <f t="shared" si="21"/>
        <v>0</v>
      </c>
    </row>
    <row r="142" spans="1:12" x14ac:dyDescent="0.3">
      <c r="A142" s="1310">
        <v>3</v>
      </c>
      <c r="B142" s="1384" t="s">
        <v>1481</v>
      </c>
      <c r="C142" s="1384" t="s">
        <v>1482</v>
      </c>
      <c r="D142" s="1284"/>
      <c r="E142" s="1284"/>
      <c r="F142" s="1284"/>
      <c r="G142" s="1284"/>
      <c r="H142" s="1284"/>
      <c r="I142" s="1284"/>
      <c r="J142" s="1284"/>
      <c r="K142" s="1284"/>
      <c r="L142" s="1299">
        <f t="shared" si="21"/>
        <v>0</v>
      </c>
    </row>
  </sheetData>
  <protectedRanges>
    <protectedRange sqref="N11:N17" name="Rango2_2_1"/>
  </protectedRanges>
  <phoneticPr fontId="20"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80233-6F2A-45D9-ABB4-95CA577F4818}">
  <dimension ref="B2:F31"/>
  <sheetViews>
    <sheetView workbookViewId="0">
      <selection activeCell="C17" sqref="C17"/>
    </sheetView>
  </sheetViews>
  <sheetFormatPr baseColWidth="10" defaultRowHeight="13.2" x14ac:dyDescent="0.25"/>
  <cols>
    <col min="2" max="2" width="24.44140625" customWidth="1"/>
    <col min="3" max="3" width="35.21875" customWidth="1"/>
  </cols>
  <sheetData>
    <row r="2" spans="2:6" x14ac:dyDescent="0.25">
      <c r="B2" s="286" t="s">
        <v>2019</v>
      </c>
    </row>
    <row r="3" spans="2:6" x14ac:dyDescent="0.25">
      <c r="B3" s="75" t="s">
        <v>1984</v>
      </c>
    </row>
    <row r="4" spans="2:6" x14ac:dyDescent="0.25">
      <c r="B4" s="150" t="s">
        <v>2020</v>
      </c>
      <c r="C4" s="150" t="s">
        <v>1302</v>
      </c>
      <c r="D4" s="150" t="s">
        <v>2021</v>
      </c>
    </row>
    <row r="5" spans="2:6" x14ac:dyDescent="0.25">
      <c r="B5" s="1405" t="s">
        <v>2024</v>
      </c>
      <c r="C5" s="150"/>
      <c r="D5" s="150"/>
    </row>
    <row r="6" spans="2:6" x14ac:dyDescent="0.25">
      <c r="B6" t="str">
        <f>'H3-PÉRDIDAS'!R31</f>
        <v>P-06-08-VFD-DT-58</v>
      </c>
      <c r="D6" s="1">
        <f>'H3-PÉRDIDAS'!W31*0.001</f>
        <v>5.8710000000000005E-2</v>
      </c>
    </row>
    <row r="7" spans="2:6" x14ac:dyDescent="0.25">
      <c r="B7" t="str">
        <f>'H3-PÉRDIDAS'!R32</f>
        <v>P-06-08-PCP-DT-58</v>
      </c>
      <c r="D7" s="1">
        <f>'H3-PÉRDIDAS'!W32*0.001</f>
        <v>0.63408000000000009</v>
      </c>
    </row>
    <row r="8" spans="2:6" x14ac:dyDescent="0.25">
      <c r="B8" t="str">
        <f>'H3-PÉRDIDAS'!R33</f>
        <v>P-06-08-MR-DT-58</v>
      </c>
      <c r="D8" s="1">
        <f>'H3-PÉRDIDAS'!W33*0.001</f>
        <v>3.46E-3</v>
      </c>
    </row>
    <row r="9" spans="2:6" x14ac:dyDescent="0.25">
      <c r="B9" t="str">
        <f>'H3-PÉRDIDAS'!R34</f>
        <v>P-06-08-VFD-DT-97</v>
      </c>
      <c r="D9" s="1">
        <f>'H3-PÉRDIDAS'!W34*0.001</f>
        <v>3.3030000000000004E-2</v>
      </c>
    </row>
    <row r="10" spans="2:6" x14ac:dyDescent="0.25">
      <c r="B10" t="str">
        <f>'H3-PÉRDIDAS'!R35</f>
        <v>P-06-08-PCP-DT-97</v>
      </c>
      <c r="D10" s="1">
        <f>'H3-PÉRDIDAS'!W35*0.001</f>
        <v>0.23119999999999999</v>
      </c>
    </row>
    <row r="11" spans="2:6" x14ac:dyDescent="0.25">
      <c r="B11" s="286" t="s">
        <v>2025</v>
      </c>
      <c r="D11" s="1"/>
    </row>
    <row r="12" spans="2:6" x14ac:dyDescent="0.25">
      <c r="B12" t="str">
        <f>'H3-PÉRDIDAS'!D30</f>
        <v>TBT-DT-97</v>
      </c>
      <c r="D12" s="2">
        <f>'H3-PÉRDIDAS'!P30*0.001</f>
        <v>0</v>
      </c>
    </row>
    <row r="13" spans="2:6" x14ac:dyDescent="0.25">
      <c r="B13" t="str">
        <f>'H3-PÉRDIDAS'!D31</f>
        <v>VFD-DT-58</v>
      </c>
      <c r="D13" s="1">
        <f>'H3-PÉRDIDAS'!P31</f>
        <v>2.94</v>
      </c>
    </row>
    <row r="14" spans="2:6" x14ac:dyDescent="0.25">
      <c r="B14" t="str">
        <f>'H3-PÉRDIDAS'!D32</f>
        <v>PCP-DT-58</v>
      </c>
      <c r="D14" s="1">
        <f>'H3-PÉRDIDAS'!P32</f>
        <v>2.75</v>
      </c>
    </row>
    <row r="15" spans="2:6" x14ac:dyDescent="0.25">
      <c r="B15" t="str">
        <f>'H3-PÉRDIDAS'!D33</f>
        <v>MR-DT-58</v>
      </c>
      <c r="D15" s="1">
        <f>'H3-PÉRDIDAS'!P33</f>
        <v>0.04</v>
      </c>
    </row>
    <row r="16" spans="2:6" x14ac:dyDescent="0.25">
      <c r="B16" t="str">
        <f>'H3-PÉRDIDAS'!D34</f>
        <v>VFD-DT-97</v>
      </c>
      <c r="D16" s="1">
        <f>'H3-PÉRDIDAS'!P34</f>
        <v>2.2000000000000002</v>
      </c>
      <c r="F16" s="1406">
        <f>D16/(75*0.746)</f>
        <v>3.9320822162645222E-2</v>
      </c>
    </row>
    <row r="17" spans="2:6" x14ac:dyDescent="0.25">
      <c r="B17" t="str">
        <f>'H3-PÉRDIDAS'!D35</f>
        <v>PCP-DT-97</v>
      </c>
      <c r="D17" s="1">
        <f>'H3-PÉRDIDAS'!P35</f>
        <v>2.06</v>
      </c>
      <c r="F17" s="1406">
        <f>D17/(75*0.746)</f>
        <v>3.6818588025022338E-2</v>
      </c>
    </row>
    <row r="18" spans="2:6" x14ac:dyDescent="0.25">
      <c r="B18" s="286" t="s">
        <v>2022</v>
      </c>
      <c r="D18" s="1407">
        <f>SUM(D6:D17)</f>
        <v>10.950480000000001</v>
      </c>
    </row>
    <row r="19" spans="2:6" x14ac:dyDescent="0.25">
      <c r="D19" s="2"/>
    </row>
    <row r="20" spans="2:6" x14ac:dyDescent="0.25">
      <c r="B20" s="75" t="s">
        <v>1985</v>
      </c>
      <c r="D20" s="2"/>
    </row>
    <row r="21" spans="2:6" x14ac:dyDescent="0.25">
      <c r="B21" t="str">
        <f>'H3-PÉRDIDAS'!R28</f>
        <v>1/2-P-06-08-LPB E0701-BT</v>
      </c>
      <c r="D21" s="1">
        <f>'H3-PÉRDIDAS'!W28*0.001</f>
        <v>0.23677000000000001</v>
      </c>
    </row>
    <row r="22" spans="2:6" x14ac:dyDescent="0.25">
      <c r="B22" t="str">
        <f>'H3-PÉRDIDAS'!R29</f>
        <v>1/2-P-06-08-PE04</v>
      </c>
      <c r="D22" s="1">
        <f>'H3-PÉRDIDAS'!W29*0.001</f>
        <v>2.2484999999999999</v>
      </c>
    </row>
    <row r="23" spans="2:6" x14ac:dyDescent="0.25">
      <c r="B23" t="str">
        <f>'H3-PÉRDIDAS'!R30</f>
        <v>1/2-P-06-08-TBT-DT-97</v>
      </c>
      <c r="D23" s="1">
        <f>'H3-PÉRDIDAS'!W30*0.001</f>
        <v>0.23677000000000001</v>
      </c>
    </row>
    <row r="24" spans="2:6" x14ac:dyDescent="0.25">
      <c r="B24" t="str">
        <f>'H3-PÉRDIDAS'!D27</f>
        <v>TBT08</v>
      </c>
      <c r="D24" s="1">
        <f>'H3-PÉRDIDAS'!P27*0.001</f>
        <v>0</v>
      </c>
    </row>
    <row r="25" spans="2:6" x14ac:dyDescent="0.25">
      <c r="B25" s="286" t="s">
        <v>1933</v>
      </c>
      <c r="D25" s="1407">
        <f>SUM(D21:D24)</f>
        <v>2.7220399999999998</v>
      </c>
    </row>
    <row r="26" spans="2:6" x14ac:dyDescent="0.25">
      <c r="D26" s="2"/>
    </row>
    <row r="27" spans="2:6" x14ac:dyDescent="0.25">
      <c r="B27" t="str">
        <f>'H3-PÉRDIDAS'!R27</f>
        <v>1/2-P-06-08-TBT08</v>
      </c>
      <c r="D27" s="2">
        <f>'H3-PÉRDIDAS'!W27*0.001</f>
        <v>0.49411000000000005</v>
      </c>
    </row>
    <row r="28" spans="2:6" x14ac:dyDescent="0.25">
      <c r="B28" t="str">
        <f>'H3-PÉRDIDAS'!D22</f>
        <v>SDT-8</v>
      </c>
      <c r="D28" s="1">
        <f>'H3-PÉRDIDAS'!P22</f>
        <v>3.45</v>
      </c>
      <c r="F28" s="1406">
        <f>D28/(225*0.9)</f>
        <v>1.7037037037037038E-2</v>
      </c>
    </row>
    <row r="29" spans="2:6" x14ac:dyDescent="0.25">
      <c r="B29" s="75" t="s">
        <v>1933</v>
      </c>
      <c r="D29" s="1407">
        <f>SUM(D27:D28)</f>
        <v>3.9441100000000002</v>
      </c>
    </row>
    <row r="31" spans="2:6" x14ac:dyDescent="0.25">
      <c r="B31" s="75" t="s">
        <v>2026</v>
      </c>
      <c r="D31" s="1407">
        <f>D18+D25+D29</f>
        <v>17.616630000000001</v>
      </c>
      <c r="F31" s="1406">
        <f>D31/(225*0.9)</f>
        <v>8.6995703703703714E-2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AAD5B-2F1E-4411-9F52-6533F12293C5}">
  <sheetPr codeName="Hoja24"/>
  <dimension ref="A1:E104"/>
  <sheetViews>
    <sheetView zoomScale="90" zoomScaleNormal="90" workbookViewId="0">
      <selection activeCell="R17" sqref="R17"/>
    </sheetView>
  </sheetViews>
  <sheetFormatPr baseColWidth="10" defaultColWidth="11.5546875" defaultRowHeight="14.4" x14ac:dyDescent="0.3"/>
  <cols>
    <col min="1" max="1" width="34.5546875" style="737" customWidth="1"/>
    <col min="2" max="16384" width="11.5546875" style="737"/>
  </cols>
  <sheetData>
    <row r="1" spans="1:3" x14ac:dyDescent="0.3">
      <c r="A1" s="2103" t="s">
        <v>1651</v>
      </c>
      <c r="B1" s="2104"/>
      <c r="C1" s="2105"/>
    </row>
    <row r="2" spans="1:3" ht="43.2" x14ac:dyDescent="0.3">
      <c r="A2" s="738" t="s">
        <v>1302</v>
      </c>
      <c r="B2" s="739" t="s">
        <v>1652</v>
      </c>
      <c r="C2" s="740" t="s">
        <v>1653</v>
      </c>
    </row>
    <row r="3" spans="1:3" x14ac:dyDescent="0.3">
      <c r="A3" s="741" t="s">
        <v>1654</v>
      </c>
      <c r="B3" s="742"/>
      <c r="C3" s="742"/>
    </row>
    <row r="4" spans="1:3" x14ac:dyDescent="0.3">
      <c r="A4" s="743" t="s">
        <v>1604</v>
      </c>
      <c r="B4" s="744" t="s">
        <v>1655</v>
      </c>
      <c r="C4" s="743">
        <v>0.3</v>
      </c>
    </row>
    <row r="5" spans="1:3" x14ac:dyDescent="0.3">
      <c r="A5" s="743" t="s">
        <v>1606</v>
      </c>
      <c r="B5" s="744" t="s">
        <v>1596</v>
      </c>
      <c r="C5" s="743">
        <v>0.9</v>
      </c>
    </row>
    <row r="6" spans="1:3" x14ac:dyDescent="0.3">
      <c r="A6" s="743" t="s">
        <v>1608</v>
      </c>
      <c r="B6" s="744" t="s">
        <v>771</v>
      </c>
      <c r="C6" s="743">
        <v>1</v>
      </c>
    </row>
    <row r="7" spans="1:3" x14ac:dyDescent="0.3">
      <c r="A7" s="741" t="s">
        <v>1610</v>
      </c>
      <c r="B7" s="745" t="s">
        <v>1350</v>
      </c>
      <c r="C7" s="741">
        <v>0.9</v>
      </c>
    </row>
    <row r="8" spans="1:3" x14ac:dyDescent="0.3">
      <c r="A8" s="743" t="s">
        <v>1614</v>
      </c>
      <c r="B8" s="744" t="s">
        <v>1369</v>
      </c>
      <c r="C8" s="743">
        <v>0.8</v>
      </c>
    </row>
    <row r="9" spans="1:3" x14ac:dyDescent="0.3">
      <c r="A9" s="743" t="s">
        <v>1616</v>
      </c>
      <c r="B9" s="744" t="s">
        <v>1656</v>
      </c>
      <c r="C9" s="743">
        <v>0.8</v>
      </c>
    </row>
    <row r="10" spans="1:3" x14ac:dyDescent="0.3">
      <c r="A10" s="743" t="s">
        <v>1618</v>
      </c>
      <c r="B10" s="744" t="s">
        <v>1657</v>
      </c>
      <c r="C10" s="743">
        <v>1</v>
      </c>
    </row>
    <row r="11" spans="1:3" x14ac:dyDescent="0.3">
      <c r="A11" s="743" t="s">
        <v>1625</v>
      </c>
      <c r="B11" s="744" t="s">
        <v>351</v>
      </c>
      <c r="C11" s="743">
        <v>1</v>
      </c>
    </row>
    <row r="12" spans="1:3" x14ac:dyDescent="0.3">
      <c r="A12" s="743" t="s">
        <v>1626</v>
      </c>
      <c r="B12" s="744" t="s">
        <v>1658</v>
      </c>
      <c r="C12" s="743">
        <v>0.3</v>
      </c>
    </row>
    <row r="13" spans="1:3" x14ac:dyDescent="0.3">
      <c r="A13" s="743" t="s">
        <v>1628</v>
      </c>
      <c r="B13" s="744" t="s">
        <v>1659</v>
      </c>
      <c r="C13" s="743">
        <v>0.2</v>
      </c>
    </row>
    <row r="14" spans="1:3" x14ac:dyDescent="0.3">
      <c r="A14" s="741" t="s">
        <v>1620</v>
      </c>
      <c r="B14" s="745" t="s">
        <v>1660</v>
      </c>
      <c r="C14" s="741">
        <v>0</v>
      </c>
    </row>
    <row r="15" spans="1:3" x14ac:dyDescent="0.3">
      <c r="A15" s="2106" t="s">
        <v>1661</v>
      </c>
      <c r="B15" s="2107"/>
      <c r="C15" s="2108"/>
    </row>
    <row r="16" spans="1:3" x14ac:dyDescent="0.3">
      <c r="A16" s="2103" t="s">
        <v>1662</v>
      </c>
      <c r="B16" s="2104"/>
      <c r="C16" s="2105"/>
    </row>
    <row r="17" spans="1:3" x14ac:dyDescent="0.3">
      <c r="A17" s="746" t="s">
        <v>1663</v>
      </c>
      <c r="B17" s="747"/>
      <c r="C17" s="748">
        <v>1</v>
      </c>
    </row>
    <row r="18" spans="1:3" x14ac:dyDescent="0.3">
      <c r="A18" s="746" t="s">
        <v>1664</v>
      </c>
      <c r="B18" s="736"/>
      <c r="C18" s="749">
        <v>0.35</v>
      </c>
    </row>
    <row r="19" spans="1:3" x14ac:dyDescent="0.3">
      <c r="A19" s="746" t="s">
        <v>1665</v>
      </c>
      <c r="B19" s="736"/>
      <c r="C19" s="749">
        <v>0.7</v>
      </c>
    </row>
    <row r="20" spans="1:3" x14ac:dyDescent="0.3">
      <c r="A20" s="746" t="s">
        <v>1666</v>
      </c>
      <c r="B20" s="736"/>
      <c r="C20" s="749">
        <v>0.5</v>
      </c>
    </row>
    <row r="21" spans="1:3" x14ac:dyDescent="0.3">
      <c r="A21" s="746" t="s">
        <v>1667</v>
      </c>
      <c r="B21" s="736"/>
      <c r="C21" s="749">
        <v>0.85</v>
      </c>
    </row>
    <row r="22" spans="1:3" x14ac:dyDescent="0.3">
      <c r="A22" s="746" t="s">
        <v>1668</v>
      </c>
      <c r="B22" s="736"/>
      <c r="C22" s="749">
        <v>0.3</v>
      </c>
    </row>
    <row r="23" spans="1:3" x14ac:dyDescent="0.3">
      <c r="A23" s="746" t="s">
        <v>1669</v>
      </c>
      <c r="B23" s="736"/>
      <c r="C23" s="749">
        <v>0.7</v>
      </c>
    </row>
    <row r="24" spans="1:3" x14ac:dyDescent="0.3">
      <c r="A24" s="746" t="s">
        <v>1670</v>
      </c>
      <c r="B24" s="736"/>
      <c r="C24" s="749">
        <v>0.6</v>
      </c>
    </row>
    <row r="25" spans="1:3" x14ac:dyDescent="0.3">
      <c r="A25" s="746" t="s">
        <v>1671</v>
      </c>
      <c r="B25" s="736"/>
      <c r="C25" s="749">
        <v>0.4</v>
      </c>
    </row>
    <row r="26" spans="1:3" x14ac:dyDescent="0.3">
      <c r="A26" s="746" t="s">
        <v>1672</v>
      </c>
      <c r="B26" s="736"/>
      <c r="C26" s="749">
        <v>0.5</v>
      </c>
    </row>
    <row r="27" spans="1:3" x14ac:dyDescent="0.3">
      <c r="A27" s="746" t="s">
        <v>1673</v>
      </c>
      <c r="B27" s="736"/>
      <c r="C27" s="749">
        <v>0.4</v>
      </c>
    </row>
    <row r="28" spans="1:3" x14ac:dyDescent="0.3">
      <c r="A28" s="746" t="s">
        <v>1674</v>
      </c>
      <c r="B28" s="736"/>
      <c r="C28" s="749">
        <v>0.6</v>
      </c>
    </row>
    <row r="29" spans="1:3" x14ac:dyDescent="0.3">
      <c r="A29" s="746" t="s">
        <v>1675</v>
      </c>
      <c r="B29" s="736"/>
      <c r="C29" s="749">
        <v>0.8</v>
      </c>
    </row>
    <row r="30" spans="1:3" x14ac:dyDescent="0.3">
      <c r="A30" s="746" t="s">
        <v>1676</v>
      </c>
      <c r="B30" s="736"/>
      <c r="C30" s="749">
        <v>0.25</v>
      </c>
    </row>
    <row r="31" spans="1:3" x14ac:dyDescent="0.3">
      <c r="A31" s="746" t="s">
        <v>1677</v>
      </c>
      <c r="B31" s="736"/>
      <c r="C31" s="749">
        <v>0.65</v>
      </c>
    </row>
    <row r="32" spans="1:3" x14ac:dyDescent="0.3">
      <c r="A32" s="746" t="s">
        <v>1678</v>
      </c>
      <c r="B32" s="736"/>
      <c r="C32" s="749">
        <v>0.65</v>
      </c>
    </row>
    <row r="33" spans="1:3" x14ac:dyDescent="0.3">
      <c r="A33" s="746" t="s">
        <v>1679</v>
      </c>
      <c r="B33" s="736"/>
      <c r="C33" s="749">
        <v>0.6</v>
      </c>
    </row>
    <row r="34" spans="1:3" x14ac:dyDescent="0.3">
      <c r="A34" s="746" t="s">
        <v>1680</v>
      </c>
      <c r="B34" s="736"/>
      <c r="C34" s="749">
        <v>0.65</v>
      </c>
    </row>
    <row r="35" spans="1:3" x14ac:dyDescent="0.3">
      <c r="A35" s="2103" t="s">
        <v>1681</v>
      </c>
      <c r="B35" s="2104"/>
      <c r="C35" s="2105"/>
    </row>
    <row r="36" spans="1:3" x14ac:dyDescent="0.3">
      <c r="A36" s="746" t="s">
        <v>1682</v>
      </c>
      <c r="B36" s="736"/>
      <c r="C36" s="749">
        <v>0.7</v>
      </c>
    </row>
    <row r="37" spans="1:3" x14ac:dyDescent="0.3">
      <c r="A37" s="746" t="s">
        <v>1683</v>
      </c>
      <c r="B37" s="736"/>
      <c r="C37" s="749">
        <v>0.7</v>
      </c>
    </row>
    <row r="38" spans="1:3" x14ac:dyDescent="0.3">
      <c r="A38" s="746" t="s">
        <v>1684</v>
      </c>
      <c r="B38" s="736"/>
      <c r="C38" s="749">
        <v>0.65</v>
      </c>
    </row>
    <row r="39" spans="1:3" x14ac:dyDescent="0.3">
      <c r="A39" s="746" t="s">
        <v>1685</v>
      </c>
      <c r="B39" s="736"/>
      <c r="C39" s="749">
        <v>0.8</v>
      </c>
    </row>
    <row r="40" spans="1:3" x14ac:dyDescent="0.3">
      <c r="A40" s="746" t="s">
        <v>1686</v>
      </c>
      <c r="B40" s="736"/>
      <c r="C40" s="749">
        <v>0.5</v>
      </c>
    </row>
    <row r="41" spans="1:3" x14ac:dyDescent="0.3">
      <c r="A41" s="746" t="s">
        <v>1687</v>
      </c>
      <c r="B41" s="736"/>
      <c r="C41" s="749">
        <v>0.65</v>
      </c>
    </row>
    <row r="42" spans="1:3" x14ac:dyDescent="0.3">
      <c r="A42" s="746" t="s">
        <v>1688</v>
      </c>
      <c r="B42" s="736"/>
      <c r="C42" s="749">
        <v>0.6</v>
      </c>
    </row>
    <row r="43" spans="1:3" x14ac:dyDescent="0.3">
      <c r="A43" s="746" t="s">
        <v>1689</v>
      </c>
      <c r="B43" s="736"/>
      <c r="C43" s="749">
        <v>0.45</v>
      </c>
    </row>
    <row r="44" spans="1:3" x14ac:dyDescent="0.3">
      <c r="A44" s="746" t="s">
        <v>1690</v>
      </c>
      <c r="B44" s="736"/>
      <c r="C44" s="749">
        <v>0.7</v>
      </c>
    </row>
    <row r="45" spans="1:3" x14ac:dyDescent="0.3">
      <c r="A45" s="746" t="s">
        <v>1691</v>
      </c>
      <c r="B45" s="736"/>
      <c r="C45" s="749">
        <v>0.55000000000000004</v>
      </c>
    </row>
    <row r="46" spans="1:3" x14ac:dyDescent="0.3">
      <c r="A46" s="746" t="s">
        <v>1692</v>
      </c>
      <c r="B46" s="736"/>
      <c r="C46" s="749">
        <v>0.9</v>
      </c>
    </row>
    <row r="47" spans="1:3" x14ac:dyDescent="0.3">
      <c r="A47" s="746" t="s">
        <v>1693</v>
      </c>
      <c r="B47" s="736"/>
      <c r="C47" s="749">
        <v>0.5</v>
      </c>
    </row>
    <row r="48" spans="1:3" x14ac:dyDescent="0.3">
      <c r="A48" s="746" t="s">
        <v>1694</v>
      </c>
      <c r="B48" s="736"/>
      <c r="C48" s="749">
        <v>0.6</v>
      </c>
    </row>
    <row r="49" spans="1:3" x14ac:dyDescent="0.3">
      <c r="A49" s="746" t="s">
        <v>1695</v>
      </c>
      <c r="B49" s="736"/>
      <c r="C49" s="749">
        <v>0.6</v>
      </c>
    </row>
    <row r="50" spans="1:3" x14ac:dyDescent="0.3">
      <c r="A50" s="746" t="s">
        <v>1696</v>
      </c>
      <c r="B50" s="736"/>
      <c r="C50" s="749">
        <v>0.7</v>
      </c>
    </row>
    <row r="51" spans="1:3" x14ac:dyDescent="0.3">
      <c r="A51" s="746" t="s">
        <v>1697</v>
      </c>
      <c r="B51" s="736"/>
      <c r="C51" s="749">
        <v>0.8</v>
      </c>
    </row>
    <row r="52" spans="1:3" x14ac:dyDescent="0.3">
      <c r="A52" s="746" t="s">
        <v>1698</v>
      </c>
      <c r="B52" s="736"/>
      <c r="C52" s="749">
        <v>0.75</v>
      </c>
    </row>
    <row r="53" spans="1:3" x14ac:dyDescent="0.3">
      <c r="A53" s="746" t="s">
        <v>1699</v>
      </c>
      <c r="B53" s="736"/>
      <c r="C53" s="749">
        <v>0.65</v>
      </c>
    </row>
    <row r="54" spans="1:3" x14ac:dyDescent="0.3">
      <c r="A54" s="746" t="s">
        <v>1700</v>
      </c>
      <c r="B54" s="736"/>
      <c r="C54" s="749">
        <v>0.7</v>
      </c>
    </row>
    <row r="55" spans="1:3" x14ac:dyDescent="0.3">
      <c r="A55" s="746" t="s">
        <v>1701</v>
      </c>
      <c r="B55" s="736"/>
      <c r="C55" s="749">
        <v>0.75</v>
      </c>
    </row>
    <row r="56" spans="1:3" x14ac:dyDescent="0.3">
      <c r="A56" s="746" t="s">
        <v>1702</v>
      </c>
      <c r="B56" s="736"/>
      <c r="C56" s="749">
        <v>0.65</v>
      </c>
    </row>
    <row r="57" spans="1:3" x14ac:dyDescent="0.3">
      <c r="A57" s="746" t="s">
        <v>1703</v>
      </c>
      <c r="B57" s="736"/>
      <c r="C57" s="749">
        <v>0.75</v>
      </c>
    </row>
    <row r="58" spans="1:3" x14ac:dyDescent="0.3">
      <c r="A58" s="746" t="s">
        <v>1704</v>
      </c>
      <c r="B58" s="736"/>
      <c r="C58" s="749">
        <v>0.75</v>
      </c>
    </row>
    <row r="59" spans="1:3" x14ac:dyDescent="0.3">
      <c r="A59" s="746" t="s">
        <v>1705</v>
      </c>
      <c r="B59" s="736"/>
      <c r="C59" s="749">
        <v>0.7</v>
      </c>
    </row>
    <row r="60" spans="1:3" x14ac:dyDescent="0.3">
      <c r="A60" s="746" t="s">
        <v>1706</v>
      </c>
      <c r="B60" s="736"/>
      <c r="C60" s="749">
        <v>0.5</v>
      </c>
    </row>
    <row r="61" spans="1:3" x14ac:dyDescent="0.3">
      <c r="A61" s="746" t="s">
        <v>1707</v>
      </c>
      <c r="B61" s="736"/>
      <c r="C61" s="749">
        <v>0.6</v>
      </c>
    </row>
    <row r="62" spans="1:3" x14ac:dyDescent="0.3">
      <c r="A62" s="746" t="s">
        <v>1708</v>
      </c>
      <c r="B62" s="736"/>
      <c r="C62" s="749">
        <v>0.7</v>
      </c>
    </row>
    <row r="63" spans="1:3" x14ac:dyDescent="0.3">
      <c r="A63" s="746" t="s">
        <v>1709</v>
      </c>
      <c r="B63" s="736"/>
      <c r="C63" s="749">
        <v>0.55000000000000004</v>
      </c>
    </row>
    <row r="64" spans="1:3" x14ac:dyDescent="0.3">
      <c r="A64" s="746" t="s">
        <v>1710</v>
      </c>
      <c r="B64" s="736"/>
      <c r="C64" s="749">
        <v>0.65</v>
      </c>
    </row>
    <row r="65" spans="1:3" x14ac:dyDescent="0.3">
      <c r="A65" s="746" t="s">
        <v>1711</v>
      </c>
      <c r="B65" s="736"/>
      <c r="C65" s="749">
        <v>0.45</v>
      </c>
    </row>
    <row r="66" spans="1:3" x14ac:dyDescent="0.3">
      <c r="A66" s="746" t="s">
        <v>1712</v>
      </c>
      <c r="B66" s="736"/>
      <c r="C66" s="749">
        <v>0.65</v>
      </c>
    </row>
    <row r="68" spans="1:3" x14ac:dyDescent="0.3">
      <c r="A68" s="737" t="s">
        <v>1312</v>
      </c>
    </row>
    <row r="69" spans="1:3" x14ac:dyDescent="0.3">
      <c r="A69" s="737" t="s">
        <v>1713</v>
      </c>
    </row>
    <row r="70" spans="1:3" x14ac:dyDescent="0.3">
      <c r="A70" s="737" t="s">
        <v>1714</v>
      </c>
    </row>
    <row r="76" spans="1:3" x14ac:dyDescent="0.3">
      <c r="A76" s="737">
        <v>150</v>
      </c>
    </row>
    <row r="77" spans="1:3" x14ac:dyDescent="0.3">
      <c r="A77" s="737">
        <v>225</v>
      </c>
    </row>
    <row r="78" spans="1:3" x14ac:dyDescent="0.3">
      <c r="A78" s="737">
        <v>300</v>
      </c>
    </row>
    <row r="79" spans="1:3" x14ac:dyDescent="0.3">
      <c r="A79" s="737">
        <v>500</v>
      </c>
    </row>
    <row r="80" spans="1:3" x14ac:dyDescent="0.3">
      <c r="A80" s="737">
        <v>750</v>
      </c>
    </row>
    <row r="81" spans="1:5" x14ac:dyDescent="0.3">
      <c r="A81" s="737">
        <v>1000</v>
      </c>
    </row>
    <row r="82" spans="1:5" x14ac:dyDescent="0.3">
      <c r="A82" s="737">
        <v>1250</v>
      </c>
    </row>
    <row r="83" spans="1:5" x14ac:dyDescent="0.3">
      <c r="A83" s="737">
        <v>1500</v>
      </c>
    </row>
    <row r="84" spans="1:5" x14ac:dyDescent="0.3">
      <c r="A84" s="737">
        <v>2000</v>
      </c>
    </row>
    <row r="89" spans="1:5" x14ac:dyDescent="0.3">
      <c r="C89" s="750" t="s">
        <v>1650</v>
      </c>
      <c r="D89" s="751"/>
      <c r="E89" s="752" t="s">
        <v>1715</v>
      </c>
    </row>
    <row r="90" spans="1:5" x14ac:dyDescent="0.3">
      <c r="C90" s="750" t="s">
        <v>1716</v>
      </c>
      <c r="D90" s="751"/>
      <c r="E90" s="752" t="s">
        <v>1717</v>
      </c>
    </row>
    <row r="91" spans="1:5" x14ac:dyDescent="0.3">
      <c r="C91" s="750" t="s">
        <v>1718</v>
      </c>
      <c r="D91" s="751"/>
      <c r="E91" s="753" t="s">
        <v>1719</v>
      </c>
    </row>
    <row r="92" spans="1:5" x14ac:dyDescent="0.3">
      <c r="C92" s="754" t="s">
        <v>1720</v>
      </c>
      <c r="D92" s="751"/>
      <c r="E92" s="753" t="s">
        <v>1351</v>
      </c>
    </row>
    <row r="93" spans="1:5" x14ac:dyDescent="0.3">
      <c r="C93" s="750" t="s">
        <v>1721</v>
      </c>
      <c r="D93" s="751"/>
      <c r="E93" s="753"/>
    </row>
    <row r="94" spans="1:5" x14ac:dyDescent="0.3">
      <c r="C94" s="750" t="s">
        <v>1722</v>
      </c>
      <c r="D94" s="751"/>
      <c r="E94" s="753"/>
    </row>
    <row r="95" spans="1:5" x14ac:dyDescent="0.3">
      <c r="C95" s="750" t="s">
        <v>1723</v>
      </c>
      <c r="D95" s="751"/>
      <c r="E95" s="753"/>
    </row>
    <row r="96" spans="1:5" x14ac:dyDescent="0.3">
      <c r="C96" s="754" t="s">
        <v>1724</v>
      </c>
      <c r="D96" s="751"/>
      <c r="E96" s="755" t="s">
        <v>1725</v>
      </c>
    </row>
    <row r="97" spans="3:5" x14ac:dyDescent="0.3">
      <c r="E97" s="737" t="s">
        <v>1342</v>
      </c>
    </row>
    <row r="98" spans="3:5" x14ac:dyDescent="0.3">
      <c r="E98" s="737" t="s">
        <v>1343</v>
      </c>
    </row>
    <row r="99" spans="3:5" x14ac:dyDescent="0.3">
      <c r="C99" s="750" t="s">
        <v>1726</v>
      </c>
    </row>
    <row r="100" spans="3:5" x14ac:dyDescent="0.3">
      <c r="C100" s="750" t="s">
        <v>1725</v>
      </c>
    </row>
    <row r="101" spans="3:5" x14ac:dyDescent="0.3">
      <c r="C101" s="750" t="s">
        <v>1727</v>
      </c>
    </row>
    <row r="102" spans="3:5" x14ac:dyDescent="0.3">
      <c r="C102" s="750" t="s">
        <v>310</v>
      </c>
    </row>
    <row r="103" spans="3:5" x14ac:dyDescent="0.3">
      <c r="C103" s="750" t="s">
        <v>1728</v>
      </c>
    </row>
    <row r="104" spans="3:5" x14ac:dyDescent="0.3">
      <c r="C104" s="750" t="s">
        <v>1370</v>
      </c>
    </row>
  </sheetData>
  <mergeCells count="4">
    <mergeCell ref="A1:C1"/>
    <mergeCell ref="A15:C15"/>
    <mergeCell ref="A16:C16"/>
    <mergeCell ref="A35:C35"/>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31623-4A14-4C74-94D0-E98E73A27810}">
  <sheetPr codeName="Hoja23"/>
  <dimension ref="A2:S44"/>
  <sheetViews>
    <sheetView topLeftCell="A58" zoomScale="70" zoomScaleNormal="70" workbookViewId="0">
      <selection activeCell="M47" sqref="M47"/>
    </sheetView>
  </sheetViews>
  <sheetFormatPr baseColWidth="10" defaultColWidth="11.44140625" defaultRowHeight="14.4" x14ac:dyDescent="0.3"/>
  <cols>
    <col min="1" max="1" width="11.88671875" style="727" bestFit="1" customWidth="1"/>
    <col min="2" max="14" width="11.44140625" style="727"/>
    <col min="15" max="15" width="16.44140625" style="727" customWidth="1"/>
    <col min="16" max="16384" width="11.44140625" style="727"/>
  </cols>
  <sheetData>
    <row r="2" spans="1:19" x14ac:dyDescent="0.3">
      <c r="A2" s="2111" t="s">
        <v>90</v>
      </c>
      <c r="B2" s="2111"/>
      <c r="C2" s="726"/>
      <c r="D2" s="2111" t="s">
        <v>1729</v>
      </c>
      <c r="E2" s="2111"/>
      <c r="I2" s="728" t="s">
        <v>1730</v>
      </c>
      <c r="J2" s="2112" t="s">
        <v>1731</v>
      </c>
      <c r="K2" s="2112"/>
      <c r="L2" s="728" t="s">
        <v>1730</v>
      </c>
      <c r="M2" s="2112" t="s">
        <v>1732</v>
      </c>
      <c r="N2" s="2112"/>
      <c r="O2" s="2112"/>
      <c r="P2" s="728" t="s">
        <v>1730</v>
      </c>
      <c r="Q2" s="2112" t="s">
        <v>1732</v>
      </c>
      <c r="R2" s="2112"/>
      <c r="S2" s="2112"/>
    </row>
    <row r="3" spans="1:19" x14ac:dyDescent="0.3">
      <c r="A3" s="726" t="s">
        <v>1730</v>
      </c>
      <c r="B3" s="2111" t="s">
        <v>1566</v>
      </c>
      <c r="C3" s="726" t="s">
        <v>1733</v>
      </c>
      <c r="D3" s="726" t="s">
        <v>1734</v>
      </c>
      <c r="E3" s="726" t="s">
        <v>1735</v>
      </c>
      <c r="I3" s="730" t="s">
        <v>1736</v>
      </c>
      <c r="J3" s="728" t="s">
        <v>1737</v>
      </c>
      <c r="K3" s="728" t="s">
        <v>1738</v>
      </c>
      <c r="L3" s="730" t="s">
        <v>1736</v>
      </c>
      <c r="M3" s="2112" t="s">
        <v>1739</v>
      </c>
      <c r="N3" s="2112"/>
      <c r="O3" s="2112"/>
      <c r="P3" s="730" t="s">
        <v>1736</v>
      </c>
      <c r="Q3" s="2112" t="s">
        <v>1740</v>
      </c>
      <c r="R3" s="2112"/>
      <c r="S3" s="2112"/>
    </row>
    <row r="4" spans="1:19" x14ac:dyDescent="0.3">
      <c r="A4" s="726" t="s">
        <v>1741</v>
      </c>
      <c r="B4" s="2111"/>
      <c r="C4" s="726" t="s">
        <v>799</v>
      </c>
      <c r="D4" s="726" t="s">
        <v>1742</v>
      </c>
      <c r="E4" s="726" t="s">
        <v>1742</v>
      </c>
      <c r="I4" s="731" t="s">
        <v>1743</v>
      </c>
      <c r="J4" s="731" t="s">
        <v>1744</v>
      </c>
      <c r="K4" s="731" t="s">
        <v>1745</v>
      </c>
      <c r="L4" s="731" t="s">
        <v>1743</v>
      </c>
      <c r="M4" s="729" t="s">
        <v>1737</v>
      </c>
      <c r="N4" s="729" t="s">
        <v>1746</v>
      </c>
      <c r="O4" s="729" t="s">
        <v>1747</v>
      </c>
      <c r="P4" s="731" t="s">
        <v>1743</v>
      </c>
      <c r="Q4" s="729" t="s">
        <v>1737</v>
      </c>
      <c r="R4" s="729" t="s">
        <v>1746</v>
      </c>
      <c r="S4" s="729" t="s">
        <v>1747</v>
      </c>
    </row>
    <row r="5" spans="1:19" x14ac:dyDescent="0.3">
      <c r="A5" s="732">
        <v>8</v>
      </c>
      <c r="B5" s="732" t="s">
        <v>1748</v>
      </c>
      <c r="C5" s="732">
        <v>8.3699999999999992</v>
      </c>
      <c r="D5" s="732">
        <v>2.1019999999999999</v>
      </c>
      <c r="E5" s="732">
        <v>2.68</v>
      </c>
      <c r="I5" s="733">
        <v>14</v>
      </c>
      <c r="J5" s="734">
        <v>0.19</v>
      </c>
      <c r="K5" s="734">
        <v>0.24</v>
      </c>
      <c r="L5" s="733">
        <v>14</v>
      </c>
      <c r="M5" s="1249">
        <v>10.17</v>
      </c>
      <c r="N5" s="1249">
        <v>10.17</v>
      </c>
      <c r="O5" s="1249">
        <v>10.17</v>
      </c>
      <c r="P5" s="733">
        <v>14</v>
      </c>
      <c r="Q5" s="1249">
        <v>0</v>
      </c>
      <c r="R5" s="1250">
        <v>0</v>
      </c>
      <c r="S5" s="1249">
        <v>0</v>
      </c>
    </row>
    <row r="6" spans="1:19" x14ac:dyDescent="0.3">
      <c r="A6" s="732">
        <v>6</v>
      </c>
      <c r="B6" s="732" t="s">
        <v>1748</v>
      </c>
      <c r="C6" s="732">
        <v>13.3</v>
      </c>
      <c r="D6" s="732">
        <v>1.323</v>
      </c>
      <c r="E6" s="732">
        <v>1.6870000000000001</v>
      </c>
      <c r="I6" s="733">
        <v>12</v>
      </c>
      <c r="J6" s="734">
        <v>0.17699999999999999</v>
      </c>
      <c r="K6" s="734">
        <v>0.223</v>
      </c>
      <c r="L6" s="733">
        <v>12</v>
      </c>
      <c r="M6" s="1249">
        <v>6.6</v>
      </c>
      <c r="N6" s="1249">
        <v>6.56</v>
      </c>
      <c r="O6" s="1249">
        <v>6.56</v>
      </c>
      <c r="P6" s="733">
        <v>12</v>
      </c>
      <c r="Q6" s="1249">
        <v>10.49</v>
      </c>
      <c r="R6" s="1249">
        <v>10.49</v>
      </c>
      <c r="S6" s="1249">
        <v>10.49</v>
      </c>
    </row>
    <row r="7" spans="1:19" x14ac:dyDescent="0.3">
      <c r="A7" s="732">
        <v>4</v>
      </c>
      <c r="B7" s="732" t="s">
        <v>1748</v>
      </c>
      <c r="C7" s="732">
        <v>21.15</v>
      </c>
      <c r="D7" s="732">
        <v>0.83099999999999996</v>
      </c>
      <c r="E7" s="732">
        <v>1.06</v>
      </c>
      <c r="I7" s="733">
        <v>10</v>
      </c>
      <c r="J7" s="734">
        <v>0.16400000000000001</v>
      </c>
      <c r="K7" s="734">
        <v>0.20699999999999999</v>
      </c>
      <c r="L7" s="733">
        <v>10</v>
      </c>
      <c r="M7" s="1249">
        <v>3.9</v>
      </c>
      <c r="N7" s="1249">
        <v>3.9</v>
      </c>
      <c r="O7" s="1249">
        <v>3.9</v>
      </c>
      <c r="P7" s="733">
        <v>10</v>
      </c>
      <c r="Q7" s="1249">
        <v>6.56</v>
      </c>
      <c r="R7" s="1249">
        <v>6.56</v>
      </c>
      <c r="S7" s="1249">
        <v>6.56</v>
      </c>
    </row>
    <row r="8" spans="1:19" x14ac:dyDescent="0.3">
      <c r="A8" s="732">
        <v>2</v>
      </c>
      <c r="B8" s="732" t="s">
        <v>1748</v>
      </c>
      <c r="C8" s="732">
        <v>33.630000000000003</v>
      </c>
      <c r="D8" s="732">
        <v>0.52300000000000002</v>
      </c>
      <c r="E8" s="732">
        <v>0.66700000000000004</v>
      </c>
      <c r="I8" s="733">
        <v>8</v>
      </c>
      <c r="J8" s="734">
        <v>0.17100000000000001</v>
      </c>
      <c r="K8" s="734">
        <v>0.21299999999999999</v>
      </c>
      <c r="L8" s="733">
        <v>8</v>
      </c>
      <c r="M8" s="1249">
        <v>2.56</v>
      </c>
      <c r="N8" s="1249">
        <v>2.56</v>
      </c>
      <c r="O8" s="1249">
        <v>2.56</v>
      </c>
      <c r="P8" s="733">
        <v>8</v>
      </c>
      <c r="Q8" s="1249">
        <v>4.2699999999999996</v>
      </c>
      <c r="R8" s="1249">
        <v>4.2699999999999996</v>
      </c>
      <c r="S8" s="1249">
        <v>4.2699999999999996</v>
      </c>
    </row>
    <row r="9" spans="1:19" x14ac:dyDescent="0.3">
      <c r="A9" s="732" t="s">
        <v>662</v>
      </c>
      <c r="B9" s="732" t="s">
        <v>1748</v>
      </c>
      <c r="C9" s="732">
        <v>53.51</v>
      </c>
      <c r="D9" s="732">
        <v>0.32900000000000001</v>
      </c>
      <c r="E9" s="732">
        <v>0.42</v>
      </c>
      <c r="I9" s="733">
        <v>6</v>
      </c>
      <c r="J9" s="734">
        <v>0.16700000000000001</v>
      </c>
      <c r="K9" s="734">
        <v>0.21</v>
      </c>
      <c r="L9" s="733">
        <v>6</v>
      </c>
      <c r="M9" s="1249">
        <v>1.61</v>
      </c>
      <c r="N9" s="1249">
        <v>1.61</v>
      </c>
      <c r="O9" s="1249">
        <v>1.61</v>
      </c>
      <c r="P9" s="733">
        <v>6</v>
      </c>
      <c r="Q9" s="1249">
        <v>2.66</v>
      </c>
      <c r="R9" s="1249">
        <v>2.66</v>
      </c>
      <c r="S9" s="1249">
        <v>2.66</v>
      </c>
    </row>
    <row r="10" spans="1:19" x14ac:dyDescent="0.3">
      <c r="A10" s="732" t="s">
        <v>665</v>
      </c>
      <c r="B10" s="732" t="s">
        <v>1748</v>
      </c>
      <c r="C10" s="732">
        <v>67.44</v>
      </c>
      <c r="D10" s="732">
        <v>0.26100000000000001</v>
      </c>
      <c r="E10" s="732">
        <v>0.33300000000000002</v>
      </c>
      <c r="I10" s="733">
        <v>4</v>
      </c>
      <c r="J10" s="734">
        <v>0.157</v>
      </c>
      <c r="K10" s="734">
        <v>0.19700000000000001</v>
      </c>
      <c r="L10" s="733">
        <v>4</v>
      </c>
      <c r="M10" s="1249">
        <v>1.02</v>
      </c>
      <c r="N10" s="1249">
        <v>1.02</v>
      </c>
      <c r="O10" s="1249">
        <v>1.02</v>
      </c>
      <c r="P10" s="733">
        <v>4</v>
      </c>
      <c r="Q10" s="1249">
        <v>1.67</v>
      </c>
      <c r="R10" s="1249">
        <v>1.67</v>
      </c>
      <c r="S10" s="1249">
        <v>1.67</v>
      </c>
    </row>
    <row r="11" spans="1:19" x14ac:dyDescent="0.3">
      <c r="A11" s="732" t="s">
        <v>668</v>
      </c>
      <c r="B11" s="732" t="s">
        <v>1748</v>
      </c>
      <c r="C11" s="732">
        <v>85.03</v>
      </c>
      <c r="D11" s="732">
        <v>0.20699999999999999</v>
      </c>
      <c r="E11" s="732">
        <v>0.26500000000000001</v>
      </c>
      <c r="I11" s="733">
        <v>3</v>
      </c>
      <c r="J11" s="734">
        <v>0.154</v>
      </c>
      <c r="K11" s="734">
        <v>0.19400000000000001</v>
      </c>
      <c r="L11" s="733">
        <v>3</v>
      </c>
      <c r="M11" s="1249">
        <v>0.82</v>
      </c>
      <c r="N11" s="1249">
        <v>0.82</v>
      </c>
      <c r="O11" s="1249">
        <v>0.82</v>
      </c>
      <c r="P11" s="733">
        <v>3</v>
      </c>
      <c r="Q11" s="1249">
        <v>1.31</v>
      </c>
      <c r="R11" s="1249">
        <v>1.35</v>
      </c>
      <c r="S11" s="1249">
        <v>1.31</v>
      </c>
    </row>
    <row r="12" spans="1:19" x14ac:dyDescent="0.3">
      <c r="A12" s="732" t="s">
        <v>671</v>
      </c>
      <c r="B12" s="732" t="s">
        <v>1748</v>
      </c>
      <c r="C12" s="732">
        <v>107.2</v>
      </c>
      <c r="D12" s="732">
        <v>0.16400000000000001</v>
      </c>
      <c r="E12" s="732">
        <v>0.21099999999999999</v>
      </c>
      <c r="I12" s="733">
        <v>2</v>
      </c>
      <c r="J12" s="734">
        <v>0.14799999999999999</v>
      </c>
      <c r="K12" s="734">
        <v>0.187</v>
      </c>
      <c r="L12" s="733">
        <v>2</v>
      </c>
      <c r="M12" s="1249">
        <v>0.62</v>
      </c>
      <c r="N12" s="1249">
        <v>0.66</v>
      </c>
      <c r="O12" s="1249">
        <v>0.65600000000000003</v>
      </c>
      <c r="P12" s="733">
        <v>2</v>
      </c>
      <c r="Q12" s="1249">
        <v>1.05</v>
      </c>
      <c r="R12" s="1249">
        <v>1.05</v>
      </c>
      <c r="S12" s="1249">
        <v>1.05</v>
      </c>
    </row>
    <row r="13" spans="1:19" x14ac:dyDescent="0.3">
      <c r="A13" s="732">
        <v>250</v>
      </c>
      <c r="B13" s="732" t="s">
        <v>1748</v>
      </c>
      <c r="C13" s="732">
        <v>126.7</v>
      </c>
      <c r="D13" s="732">
        <v>0.13900000000000001</v>
      </c>
      <c r="E13" s="732">
        <v>0.17899999999999999</v>
      </c>
      <c r="I13" s="733">
        <v>1</v>
      </c>
      <c r="J13" s="734">
        <v>0.151</v>
      </c>
      <c r="K13" s="734">
        <v>0.187</v>
      </c>
      <c r="L13" s="733">
        <v>1</v>
      </c>
      <c r="M13" s="1249">
        <v>0.49</v>
      </c>
      <c r="N13" s="1249">
        <v>0.52</v>
      </c>
      <c r="O13" s="1249">
        <v>0.52500000000000002</v>
      </c>
      <c r="P13" s="733">
        <v>1</v>
      </c>
      <c r="Q13" s="1249">
        <v>0.82</v>
      </c>
      <c r="R13" s="1249">
        <v>0.85299999999999998</v>
      </c>
      <c r="S13" s="1249">
        <v>0.82</v>
      </c>
    </row>
    <row r="14" spans="1:19" x14ac:dyDescent="0.3">
      <c r="A14" s="732">
        <v>350</v>
      </c>
      <c r="B14" s="732" t="s">
        <v>1748</v>
      </c>
      <c r="C14" s="732">
        <v>177.3</v>
      </c>
      <c r="D14" s="732">
        <v>9.9199999999999997E-2</v>
      </c>
      <c r="E14" s="732">
        <v>0.129</v>
      </c>
      <c r="I14" s="733" t="s">
        <v>662</v>
      </c>
      <c r="J14" s="734">
        <v>0.14399999999999999</v>
      </c>
      <c r="K14" s="734">
        <v>0.18</v>
      </c>
      <c r="L14" s="733" t="s">
        <v>662</v>
      </c>
      <c r="M14" s="1249">
        <v>0.39</v>
      </c>
      <c r="N14" s="1249">
        <v>0.42699999999999999</v>
      </c>
      <c r="O14" s="1249">
        <v>0.39400000000000002</v>
      </c>
      <c r="P14" s="733" t="s">
        <v>662</v>
      </c>
      <c r="Q14" s="1249">
        <v>0.65600000000000003</v>
      </c>
      <c r="R14" s="1249">
        <v>0.68899999999999995</v>
      </c>
      <c r="S14" s="1249">
        <v>0.65600000000000003</v>
      </c>
    </row>
    <row r="15" spans="1:19" x14ac:dyDescent="0.3">
      <c r="A15" s="732">
        <v>500</v>
      </c>
      <c r="B15" s="732" t="s">
        <v>1748</v>
      </c>
      <c r="C15" s="732">
        <v>253.4</v>
      </c>
      <c r="D15" s="732">
        <v>6.9400000000000003E-2</v>
      </c>
      <c r="E15" s="732">
        <v>9.2600000000000002E-2</v>
      </c>
      <c r="I15" s="733" t="s">
        <v>665</v>
      </c>
      <c r="J15" s="734">
        <v>0.14099999999999999</v>
      </c>
      <c r="K15" s="734">
        <v>0.17699999999999999</v>
      </c>
      <c r="L15" s="733" t="s">
        <v>665</v>
      </c>
      <c r="M15" s="1249">
        <v>0.33</v>
      </c>
      <c r="N15" s="1249">
        <v>0.32800000000000001</v>
      </c>
      <c r="O15" s="1249">
        <v>0.32800000000000001</v>
      </c>
      <c r="P15" s="733" t="s">
        <v>665</v>
      </c>
      <c r="Q15" s="1249">
        <v>0.52500000000000002</v>
      </c>
      <c r="R15" s="1249">
        <v>0.52500000000000002</v>
      </c>
      <c r="S15" s="1249">
        <v>0.52500000000000002</v>
      </c>
    </row>
    <row r="16" spans="1:19" x14ac:dyDescent="0.3">
      <c r="A16" s="732">
        <v>750</v>
      </c>
      <c r="B16" s="732" t="s">
        <v>1748</v>
      </c>
      <c r="C16" s="732">
        <v>380</v>
      </c>
      <c r="D16" s="732">
        <v>4.6300000000000001E-2</v>
      </c>
      <c r="E16" s="732">
        <v>6.5199999999999994E-2</v>
      </c>
      <c r="I16" s="733" t="s">
        <v>668</v>
      </c>
      <c r="J16" s="734">
        <v>0.13800000000000001</v>
      </c>
      <c r="K16" s="734">
        <v>0.17100000000000001</v>
      </c>
      <c r="L16" s="733" t="s">
        <v>668</v>
      </c>
      <c r="M16" s="1249">
        <v>0.253</v>
      </c>
      <c r="N16" s="1249">
        <v>0.26900000000000002</v>
      </c>
      <c r="O16" s="1249">
        <v>0.25900000000000001</v>
      </c>
      <c r="P16" s="733" t="s">
        <v>668</v>
      </c>
      <c r="Q16" s="1249">
        <v>0.42699999999999999</v>
      </c>
      <c r="R16" s="1249">
        <v>0.42699999999999999</v>
      </c>
      <c r="S16" s="1249">
        <v>0.42699999999999999</v>
      </c>
    </row>
    <row r="17" spans="1:19" x14ac:dyDescent="0.3">
      <c r="A17" s="732">
        <v>1000</v>
      </c>
      <c r="B17" s="732" t="s">
        <v>1748</v>
      </c>
      <c r="C17" s="732">
        <v>506.7</v>
      </c>
      <c r="D17" s="732">
        <v>3.4700000000000002E-2</v>
      </c>
      <c r="E17" s="732">
        <v>5.2299999999999999E-2</v>
      </c>
      <c r="I17" s="733" t="s">
        <v>671</v>
      </c>
      <c r="J17" s="734">
        <v>0.13500000000000001</v>
      </c>
      <c r="K17" s="734">
        <v>0.16700000000000001</v>
      </c>
      <c r="L17" s="733" t="s">
        <v>671</v>
      </c>
      <c r="M17" s="1249">
        <v>0.20300000000000001</v>
      </c>
      <c r="N17" s="1249">
        <v>0.219</v>
      </c>
      <c r="O17" s="1249">
        <v>0.20699999999999999</v>
      </c>
      <c r="P17" s="733" t="s">
        <v>671</v>
      </c>
      <c r="Q17" s="1249">
        <v>0.33</v>
      </c>
      <c r="R17" s="1249">
        <v>0.36099999999999999</v>
      </c>
      <c r="S17" s="1249">
        <v>0.32800000000000001</v>
      </c>
    </row>
    <row r="18" spans="1:19" x14ac:dyDescent="0.3">
      <c r="A18" s="732">
        <v>8</v>
      </c>
      <c r="B18" s="732" t="s">
        <v>601</v>
      </c>
      <c r="C18" s="732">
        <v>8.39</v>
      </c>
      <c r="D18" s="732">
        <v>3.4239999999999999</v>
      </c>
      <c r="E18" s="732">
        <v>4.4059999999999997</v>
      </c>
      <c r="I18" s="733">
        <v>250</v>
      </c>
      <c r="J18" s="734">
        <v>0.13500000000000001</v>
      </c>
      <c r="K18" s="734">
        <v>0.17100000000000001</v>
      </c>
      <c r="L18" s="733">
        <v>250</v>
      </c>
      <c r="M18" s="1249">
        <v>0.17100000000000001</v>
      </c>
      <c r="N18" s="1249">
        <v>0.187</v>
      </c>
      <c r="O18" s="1249">
        <v>0.17699999999999999</v>
      </c>
      <c r="P18" s="733">
        <v>250</v>
      </c>
      <c r="Q18" s="1249">
        <v>0.27900000000000003</v>
      </c>
      <c r="R18" s="1249">
        <v>0.29499999999999998</v>
      </c>
      <c r="S18" s="1249">
        <v>0.28199999999999997</v>
      </c>
    </row>
    <row r="19" spans="1:19" x14ac:dyDescent="0.3">
      <c r="A19" s="732">
        <v>6</v>
      </c>
      <c r="B19" s="732" t="s">
        <v>601</v>
      </c>
      <c r="C19" s="732">
        <v>13.34</v>
      </c>
      <c r="D19" s="732">
        <v>2.1539999999999999</v>
      </c>
      <c r="E19" s="732">
        <v>3.4940000000000002</v>
      </c>
      <c r="I19" s="733">
        <v>300</v>
      </c>
      <c r="J19" s="734">
        <v>0.13500000000000001</v>
      </c>
      <c r="K19" s="734">
        <v>0.16700000000000001</v>
      </c>
      <c r="L19" s="733">
        <v>300</v>
      </c>
      <c r="M19" s="1249">
        <v>0.14399999999999999</v>
      </c>
      <c r="N19" s="1249">
        <v>0.161</v>
      </c>
      <c r="O19" s="1249">
        <v>0.14799999999999999</v>
      </c>
      <c r="P19" s="733">
        <v>300</v>
      </c>
      <c r="Q19" s="1249">
        <v>0.23300000000000001</v>
      </c>
      <c r="R19" s="1249">
        <v>0.249</v>
      </c>
      <c r="S19" s="1249">
        <v>0.23599999999999999</v>
      </c>
    </row>
    <row r="20" spans="1:19" x14ac:dyDescent="0.3">
      <c r="A20" s="732">
        <v>4</v>
      </c>
      <c r="B20" s="732" t="s">
        <v>601</v>
      </c>
      <c r="C20" s="732">
        <v>21.22</v>
      </c>
      <c r="D20" s="732">
        <v>1.3540000000000001</v>
      </c>
      <c r="E20" s="732">
        <v>1.7430000000000001</v>
      </c>
      <c r="I20" s="733">
        <v>350</v>
      </c>
      <c r="J20" s="734">
        <v>0.13100000000000001</v>
      </c>
      <c r="K20" s="734">
        <v>0.16400000000000001</v>
      </c>
      <c r="L20" s="733">
        <v>350</v>
      </c>
      <c r="M20" s="1249">
        <v>0.125</v>
      </c>
      <c r="N20" s="1249">
        <v>0.14099999999999999</v>
      </c>
      <c r="O20" s="1249">
        <v>0.128</v>
      </c>
      <c r="P20" s="733">
        <v>350</v>
      </c>
      <c r="Q20" s="1249">
        <v>0.2</v>
      </c>
      <c r="R20" s="1249">
        <v>0.217</v>
      </c>
      <c r="S20" s="1249">
        <v>0.20599999999999999</v>
      </c>
    </row>
    <row r="21" spans="1:19" x14ac:dyDescent="0.3">
      <c r="A21" s="732">
        <v>2</v>
      </c>
      <c r="B21" s="732" t="s">
        <v>601</v>
      </c>
      <c r="C21" s="732">
        <v>33.74</v>
      </c>
      <c r="D21" s="732">
        <v>0.85199999999999998</v>
      </c>
      <c r="E21" s="732">
        <v>1.0960000000000001</v>
      </c>
      <c r="I21" s="733">
        <v>400</v>
      </c>
      <c r="J21" s="734">
        <v>0.13100000000000001</v>
      </c>
      <c r="K21" s="734">
        <v>0.161</v>
      </c>
      <c r="L21" s="733">
        <v>400</v>
      </c>
      <c r="M21" s="1249">
        <v>0.108</v>
      </c>
      <c r="N21" s="1249">
        <v>0.125</v>
      </c>
      <c r="O21" s="1249">
        <v>0.115</v>
      </c>
      <c r="P21" s="733">
        <v>400</v>
      </c>
      <c r="Q21" s="1249">
        <v>0.17699999999999999</v>
      </c>
      <c r="R21" s="1249">
        <v>0.19400000000000001</v>
      </c>
      <c r="S21" s="1249">
        <v>0.18</v>
      </c>
    </row>
    <row r="22" spans="1:19" x14ac:dyDescent="0.3">
      <c r="A22" s="732" t="s">
        <v>662</v>
      </c>
      <c r="B22" s="732" t="s">
        <v>601</v>
      </c>
      <c r="C22" s="732">
        <v>53.68</v>
      </c>
      <c r="D22" s="732">
        <v>0.53500000000000003</v>
      </c>
      <c r="E22" s="732">
        <v>0.68899999999999995</v>
      </c>
      <c r="I22" s="733">
        <v>500</v>
      </c>
      <c r="J22" s="734">
        <v>0.128</v>
      </c>
      <c r="K22" s="734">
        <v>0.157</v>
      </c>
      <c r="L22" s="733">
        <v>500</v>
      </c>
      <c r="M22" s="1249">
        <v>8.8999999999999996E-2</v>
      </c>
      <c r="N22" s="1249">
        <v>0.105</v>
      </c>
      <c r="O22" s="1249">
        <v>9.5000000000000001E-2</v>
      </c>
      <c r="P22" s="733">
        <v>500</v>
      </c>
      <c r="Q22" s="1249">
        <v>0.14099999999999999</v>
      </c>
      <c r="R22" s="1249">
        <v>0.157</v>
      </c>
      <c r="S22" s="1249">
        <v>0.14799999999999999</v>
      </c>
    </row>
    <row r="23" spans="1:19" x14ac:dyDescent="0.3">
      <c r="A23" s="732" t="s">
        <v>665</v>
      </c>
      <c r="B23" s="732" t="s">
        <v>601</v>
      </c>
      <c r="C23" s="732">
        <v>67.66</v>
      </c>
      <c r="D23" s="732">
        <v>0.42499999999999999</v>
      </c>
      <c r="E23" s="732">
        <v>0.54700000000000004</v>
      </c>
      <c r="F23" s="727">
        <f>E23/1000</f>
        <v>5.4700000000000007E-4</v>
      </c>
      <c r="I23" s="733">
        <v>600</v>
      </c>
      <c r="J23" s="734">
        <v>0.129</v>
      </c>
      <c r="K23" s="734">
        <v>0.157</v>
      </c>
      <c r="L23" s="733">
        <v>600</v>
      </c>
      <c r="M23" s="1249">
        <v>7.4999999999999997E-2</v>
      </c>
      <c r="N23" s="1249">
        <v>9.1999999999999998E-2</v>
      </c>
      <c r="O23" s="1249">
        <v>8.2000000000000003E-2</v>
      </c>
      <c r="P23" s="733">
        <v>600</v>
      </c>
      <c r="Q23" s="1249">
        <v>0.11799999999999999</v>
      </c>
      <c r="R23" s="1249">
        <v>0.13500000000000001</v>
      </c>
      <c r="S23" s="1249">
        <v>0.125</v>
      </c>
    </row>
    <row r="24" spans="1:19" x14ac:dyDescent="0.3">
      <c r="A24" s="732" t="s">
        <v>668</v>
      </c>
      <c r="B24" s="732" t="s">
        <v>601</v>
      </c>
      <c r="C24" s="732">
        <v>85.3</v>
      </c>
      <c r="D24" s="732">
        <v>0.33700000000000002</v>
      </c>
      <c r="E24" s="732">
        <v>0.434</v>
      </c>
      <c r="I24" s="733">
        <v>750</v>
      </c>
      <c r="J24" s="734">
        <v>0.125</v>
      </c>
      <c r="K24" s="734">
        <v>0.157</v>
      </c>
      <c r="L24" s="733">
        <v>750</v>
      </c>
      <c r="M24" s="1249">
        <v>6.2E-2</v>
      </c>
      <c r="N24" s="1249">
        <v>7.9000000000000001E-2</v>
      </c>
      <c r="O24" s="1249">
        <v>6.9000000000000006E-2</v>
      </c>
      <c r="P24" s="733">
        <v>750</v>
      </c>
      <c r="Q24" s="1249">
        <v>9.5000000000000001E-2</v>
      </c>
      <c r="R24" s="1249">
        <v>0.112</v>
      </c>
      <c r="S24" s="1249">
        <v>0.10199999999999999</v>
      </c>
    </row>
    <row r="25" spans="1:19" x14ac:dyDescent="0.3">
      <c r="A25" s="732" t="s">
        <v>671</v>
      </c>
      <c r="B25" s="732" t="s">
        <v>601</v>
      </c>
      <c r="C25" s="732">
        <v>107.6</v>
      </c>
      <c r="D25" s="732">
        <v>0.26700000000000002</v>
      </c>
      <c r="E25" s="732">
        <v>0.34499999999999997</v>
      </c>
      <c r="I25" s="733">
        <v>1000</v>
      </c>
      <c r="J25" s="734">
        <v>0.121</v>
      </c>
      <c r="K25" s="734">
        <v>0.151</v>
      </c>
      <c r="L25" s="733">
        <v>1000</v>
      </c>
      <c r="M25" s="1249">
        <v>4.9000000000000002E-2</v>
      </c>
      <c r="N25" s="1249">
        <v>6.2E-2</v>
      </c>
      <c r="O25" s="1249">
        <v>5.8999999999999997E-2</v>
      </c>
      <c r="P25" s="733">
        <v>1000</v>
      </c>
      <c r="Q25" s="1249">
        <v>7.4999999999999997E-2</v>
      </c>
      <c r="R25" s="1249">
        <v>8.8999999999999996E-2</v>
      </c>
      <c r="S25" s="1249">
        <v>8.2000000000000003E-2</v>
      </c>
    </row>
    <row r="26" spans="1:19" x14ac:dyDescent="0.3">
      <c r="A26" s="732">
        <v>250</v>
      </c>
      <c r="B26" s="732" t="s">
        <v>601</v>
      </c>
      <c r="C26" s="732">
        <v>127.1</v>
      </c>
      <c r="D26" s="732">
        <v>0.22600000000000001</v>
      </c>
      <c r="E26" s="732">
        <v>0.29199999999999998</v>
      </c>
    </row>
    <row r="27" spans="1:19" x14ac:dyDescent="0.3">
      <c r="A27" s="732">
        <v>350</v>
      </c>
      <c r="B27" s="732" t="s">
        <v>601</v>
      </c>
      <c r="C27" s="732">
        <v>177.9</v>
      </c>
      <c r="D27" s="732">
        <v>0.161</v>
      </c>
      <c r="E27" s="732">
        <v>0.21</v>
      </c>
      <c r="I27" s="2109" t="s">
        <v>1749</v>
      </c>
      <c r="J27" s="2110"/>
      <c r="K27" s="2110"/>
      <c r="L27" s="2110"/>
      <c r="M27" s="2110"/>
      <c r="N27" s="2110"/>
      <c r="O27" s="2110"/>
    </row>
    <row r="28" spans="1:19" x14ac:dyDescent="0.3">
      <c r="A28" s="732">
        <v>500</v>
      </c>
      <c r="B28" s="732" t="s">
        <v>601</v>
      </c>
      <c r="C28" s="732">
        <v>254.2</v>
      </c>
      <c r="D28" s="732">
        <v>0.113</v>
      </c>
      <c r="E28" s="732">
        <v>0.14799999999999999</v>
      </c>
      <c r="I28" s="1280"/>
      <c r="J28" s="1280"/>
      <c r="K28" s="1280"/>
      <c r="L28" s="2109" t="s">
        <v>1750</v>
      </c>
      <c r="M28" s="2110"/>
      <c r="N28" s="2110"/>
      <c r="O28" s="1280"/>
    </row>
    <row r="29" spans="1:19" x14ac:dyDescent="0.3">
      <c r="A29" s="732">
        <v>750</v>
      </c>
      <c r="B29" s="732" t="s">
        <v>601</v>
      </c>
      <c r="C29" s="732">
        <v>381.3</v>
      </c>
      <c r="D29" s="732">
        <v>7.4999999999999997E-2</v>
      </c>
      <c r="E29" s="732">
        <v>0.10100000000000001</v>
      </c>
      <c r="I29" s="729" t="s">
        <v>1730</v>
      </c>
      <c r="J29" s="1281"/>
      <c r="K29" s="1281"/>
      <c r="L29" s="1385"/>
      <c r="M29" s="1385" t="s">
        <v>1751</v>
      </c>
      <c r="N29" s="1385" t="s">
        <v>1752</v>
      </c>
      <c r="O29" s="1385" t="s">
        <v>1753</v>
      </c>
    </row>
    <row r="30" spans="1:19" x14ac:dyDescent="0.3">
      <c r="A30" s="732">
        <v>1000</v>
      </c>
      <c r="B30" s="732" t="s">
        <v>601</v>
      </c>
      <c r="C30" s="732">
        <v>508.4</v>
      </c>
      <c r="D30" s="732">
        <v>5.7000000000000002E-2</v>
      </c>
      <c r="E30" s="732">
        <v>7.8200000000000006E-2</v>
      </c>
      <c r="I30" s="729" t="s">
        <v>1736</v>
      </c>
      <c r="J30" s="1281"/>
      <c r="K30" s="1281"/>
      <c r="L30" s="1385" t="s">
        <v>1754</v>
      </c>
      <c r="M30" s="1385" t="s">
        <v>1755</v>
      </c>
      <c r="N30" s="1385" t="s">
        <v>1756</v>
      </c>
      <c r="O30" s="1385" t="s">
        <v>1757</v>
      </c>
    </row>
    <row r="31" spans="1:19" x14ac:dyDescent="0.3">
      <c r="I31" s="729" t="s">
        <v>1743</v>
      </c>
      <c r="J31" s="729" t="s">
        <v>799</v>
      </c>
      <c r="K31" s="729" t="s">
        <v>1758</v>
      </c>
      <c r="L31" s="729" t="s">
        <v>798</v>
      </c>
      <c r="M31" s="729" t="s">
        <v>798</v>
      </c>
      <c r="N31" s="729" t="s">
        <v>798</v>
      </c>
      <c r="O31" s="729" t="s">
        <v>1759</v>
      </c>
      <c r="P31"/>
    </row>
    <row r="32" spans="1:19" x14ac:dyDescent="0.3">
      <c r="I32" s="733" t="s">
        <v>1760</v>
      </c>
      <c r="J32" s="1281">
        <v>13.3</v>
      </c>
      <c r="K32" s="1281">
        <v>118</v>
      </c>
      <c r="L32" s="1281">
        <v>4.1100000000000003</v>
      </c>
      <c r="M32" s="1385" t="s">
        <v>1352</v>
      </c>
      <c r="N32" s="1385" t="s">
        <v>1352</v>
      </c>
      <c r="O32" s="1281">
        <v>1.32</v>
      </c>
      <c r="P32"/>
    </row>
    <row r="33" spans="9:15" x14ac:dyDescent="0.3">
      <c r="I33" s="733" t="s">
        <v>1588</v>
      </c>
      <c r="J33" s="1281">
        <v>21.1</v>
      </c>
      <c r="K33" s="1281">
        <v>188</v>
      </c>
      <c r="L33" s="1281">
        <v>5.19</v>
      </c>
      <c r="M33" s="1385" t="s">
        <v>1352</v>
      </c>
      <c r="N33" s="1385" t="s">
        <v>1352</v>
      </c>
      <c r="O33" s="1281">
        <v>0.83</v>
      </c>
    </row>
    <row r="34" spans="9:15" x14ac:dyDescent="0.3">
      <c r="I34" s="733" t="s">
        <v>1761</v>
      </c>
      <c r="J34" s="1281">
        <v>21.1</v>
      </c>
      <c r="K34" s="1281">
        <v>188</v>
      </c>
      <c r="L34" s="1385" t="s">
        <v>1352</v>
      </c>
      <c r="M34" s="1281">
        <v>5.89</v>
      </c>
      <c r="N34" s="1281">
        <v>5.41</v>
      </c>
      <c r="O34" s="1281">
        <v>0.84599999999999997</v>
      </c>
    </row>
    <row r="35" spans="9:15" x14ac:dyDescent="0.3">
      <c r="I35" s="733" t="s">
        <v>1762</v>
      </c>
      <c r="J35" s="1281">
        <v>33.6</v>
      </c>
      <c r="K35" s="1281">
        <v>306</v>
      </c>
      <c r="L35" s="1281">
        <v>6.54</v>
      </c>
      <c r="M35" s="1385" t="s">
        <v>1352</v>
      </c>
      <c r="N35" s="1385" t="s">
        <v>1352</v>
      </c>
      <c r="O35" s="1281">
        <v>0.52200000000000002</v>
      </c>
    </row>
    <row r="36" spans="9:15" x14ac:dyDescent="0.3">
      <c r="I36" s="733" t="s">
        <v>1763</v>
      </c>
      <c r="J36" s="1281">
        <v>33.6</v>
      </c>
      <c r="K36" s="1281">
        <v>306</v>
      </c>
      <c r="L36" s="1385" t="s">
        <v>1352</v>
      </c>
      <c r="M36" s="1281">
        <v>7.42</v>
      </c>
      <c r="N36" s="1281">
        <v>6.81</v>
      </c>
      <c r="O36" s="1281">
        <v>0.53100000000000003</v>
      </c>
    </row>
    <row r="37" spans="9:15" x14ac:dyDescent="0.3">
      <c r="I37" s="733" t="s">
        <v>1764</v>
      </c>
      <c r="J37" s="1281">
        <v>42.4</v>
      </c>
      <c r="K37" s="1281">
        <v>386</v>
      </c>
      <c r="L37" s="1281">
        <v>7.35</v>
      </c>
      <c r="M37" s="1385" t="s">
        <v>1352</v>
      </c>
      <c r="N37" s="1385" t="s">
        <v>1352</v>
      </c>
      <c r="O37" s="1281">
        <v>0.41299999999999998</v>
      </c>
    </row>
    <row r="38" spans="9:15" x14ac:dyDescent="0.3">
      <c r="I38" s="733" t="s">
        <v>1765</v>
      </c>
      <c r="J38" s="1281">
        <v>42.4</v>
      </c>
      <c r="K38" s="1281">
        <v>386</v>
      </c>
      <c r="L38" s="1385" t="s">
        <v>1352</v>
      </c>
      <c r="M38" s="1281">
        <v>8.33</v>
      </c>
      <c r="N38" s="1281">
        <v>7.57</v>
      </c>
      <c r="O38" s="1281">
        <v>0.42299999999999999</v>
      </c>
    </row>
    <row r="39" spans="9:15" x14ac:dyDescent="0.3">
      <c r="I39" s="733" t="s">
        <v>1766</v>
      </c>
      <c r="J39" s="1281">
        <v>53.5</v>
      </c>
      <c r="K39" s="1281">
        <v>475</v>
      </c>
      <c r="L39" s="1385" t="s">
        <v>1352</v>
      </c>
      <c r="M39" s="1281">
        <v>9.35</v>
      </c>
      <c r="N39" s="1281">
        <v>8.56</v>
      </c>
      <c r="O39" s="1281">
        <v>0.33500000000000002</v>
      </c>
    </row>
    <row r="40" spans="9:15" x14ac:dyDescent="0.3">
      <c r="I40" s="733" t="s">
        <v>1767</v>
      </c>
      <c r="J40" s="1281">
        <v>67.400000000000006</v>
      </c>
      <c r="K40" s="1281">
        <v>599</v>
      </c>
      <c r="L40" s="1385" t="s">
        <v>1352</v>
      </c>
      <c r="M40" s="1281">
        <v>10.52</v>
      </c>
      <c r="N40" s="1385" t="s">
        <v>1352</v>
      </c>
      <c r="O40" s="1281">
        <v>0.26600000000000001</v>
      </c>
    </row>
    <row r="41" spans="9:15" x14ac:dyDescent="0.3">
      <c r="I41" s="733" t="s">
        <v>1768</v>
      </c>
      <c r="J41" s="1281">
        <v>85</v>
      </c>
      <c r="K41" s="1281">
        <v>771</v>
      </c>
      <c r="L41" s="1385" t="s">
        <v>1352</v>
      </c>
      <c r="M41" s="1281">
        <v>11.79</v>
      </c>
      <c r="N41" s="1385" t="s">
        <v>1352</v>
      </c>
      <c r="O41" s="1281">
        <v>0.20699999999999999</v>
      </c>
    </row>
    <row r="42" spans="9:15" x14ac:dyDescent="0.3">
      <c r="I42" s="733" t="s">
        <v>1769</v>
      </c>
      <c r="J42" s="1281">
        <v>107</v>
      </c>
      <c r="K42" s="1281">
        <v>972</v>
      </c>
      <c r="L42" s="1385" t="s">
        <v>1352</v>
      </c>
      <c r="M42" s="1281">
        <v>13.26</v>
      </c>
      <c r="N42" s="1385" t="s">
        <v>1352</v>
      </c>
      <c r="O42" s="1281">
        <v>0.16400000000000001</v>
      </c>
    </row>
    <row r="43" spans="9:15" x14ac:dyDescent="0.3">
      <c r="I43" s="1386" t="s">
        <v>1770</v>
      </c>
    </row>
    <row r="44" spans="9:15" x14ac:dyDescent="0.3">
      <c r="I44" s="1386" t="s">
        <v>1771</v>
      </c>
    </row>
  </sheetData>
  <mergeCells count="10">
    <mergeCell ref="A2:B2"/>
    <mergeCell ref="D2:E2"/>
    <mergeCell ref="J2:K2"/>
    <mergeCell ref="M2:O2"/>
    <mergeCell ref="Q2:S2"/>
    <mergeCell ref="L28:N28"/>
    <mergeCell ref="I27:O27"/>
    <mergeCell ref="B3:B4"/>
    <mergeCell ref="M3:O3"/>
    <mergeCell ref="Q3:S3"/>
  </mergeCells>
  <phoneticPr fontId="20" type="noConversion"/>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DCD8A-3AE3-489E-9AA4-8AA7C80B3776}">
  <dimension ref="B2:AE56"/>
  <sheetViews>
    <sheetView zoomScale="70" zoomScaleNormal="70" workbookViewId="0">
      <selection activeCell="AG28" sqref="AG28"/>
    </sheetView>
  </sheetViews>
  <sheetFormatPr baseColWidth="10" defaultColWidth="11.44140625" defaultRowHeight="13.2" x14ac:dyDescent="0.25"/>
  <cols>
    <col min="2" max="2" width="39.44140625" hidden="1" customWidth="1"/>
    <col min="3" max="3" width="54" hidden="1" customWidth="1"/>
    <col min="4" max="4" width="59.88671875" hidden="1" customWidth="1"/>
    <col min="7" max="7" width="16.88671875" customWidth="1"/>
    <col min="12" max="12" width="14.109375" customWidth="1"/>
    <col min="17" max="17" width="15.109375" customWidth="1"/>
    <col min="25" max="26" width="10.88671875" style="54"/>
  </cols>
  <sheetData>
    <row r="2" spans="2:31" ht="13.8" thickBot="1" x14ac:dyDescent="0.3"/>
    <row r="3" spans="2:31" ht="16.2" thickBot="1" x14ac:dyDescent="0.3">
      <c r="B3" s="2137" t="s">
        <v>1772</v>
      </c>
      <c r="C3" s="2137"/>
      <c r="D3" s="2137"/>
      <c r="F3" s="2116"/>
      <c r="G3" s="1232"/>
      <c r="H3" s="2119" t="s">
        <v>1773</v>
      </c>
      <c r="I3" s="2120"/>
      <c r="J3" s="2121"/>
      <c r="K3" s="1213"/>
      <c r="L3" s="1213"/>
      <c r="M3" s="2122" t="s">
        <v>1774</v>
      </c>
      <c r="N3" s="2123"/>
      <c r="O3" s="2124"/>
      <c r="P3" s="1214"/>
      <c r="Q3" s="1214"/>
      <c r="R3" s="2125" t="s">
        <v>1775</v>
      </c>
      <c r="S3" s="2126"/>
      <c r="T3" s="2127"/>
      <c r="U3" s="1229"/>
    </row>
    <row r="4" spans="2:31" ht="15" thickBot="1" x14ac:dyDescent="0.3">
      <c r="B4" s="2138" t="s">
        <v>1776</v>
      </c>
      <c r="C4" s="2139"/>
      <c r="D4" s="2140"/>
      <c r="F4" s="2117"/>
      <c r="G4" s="2128" t="s">
        <v>514</v>
      </c>
      <c r="H4" s="2128" t="s">
        <v>1777</v>
      </c>
      <c r="I4" s="1203" t="s">
        <v>1778</v>
      </c>
      <c r="J4" s="2128" t="s">
        <v>1779</v>
      </c>
      <c r="K4" s="1215"/>
      <c r="L4" s="2130" t="s">
        <v>514</v>
      </c>
      <c r="M4" s="2130" t="s">
        <v>1777</v>
      </c>
      <c r="N4" s="1205" t="s">
        <v>1778</v>
      </c>
      <c r="O4" s="2130" t="s">
        <v>1779</v>
      </c>
      <c r="P4" s="1217"/>
      <c r="Q4" s="2132" t="s">
        <v>514</v>
      </c>
      <c r="R4" s="2132" t="s">
        <v>1777</v>
      </c>
      <c r="S4" s="1207" t="s">
        <v>1778</v>
      </c>
      <c r="T4" s="2132" t="s">
        <v>1779</v>
      </c>
      <c r="U4" s="1230"/>
    </row>
    <row r="5" spans="2:31" ht="15" thickBot="1" x14ac:dyDescent="0.3">
      <c r="B5" s="1219" t="s">
        <v>1780</v>
      </c>
      <c r="C5" s="1220" t="s">
        <v>1781</v>
      </c>
      <c r="D5" s="1221" t="s">
        <v>1649</v>
      </c>
      <c r="F5" s="2118"/>
      <c r="G5" s="2129"/>
      <c r="H5" s="2129"/>
      <c r="I5" s="1204" t="s">
        <v>1782</v>
      </c>
      <c r="J5" s="2129"/>
      <c r="K5" s="1216"/>
      <c r="L5" s="2131"/>
      <c r="M5" s="2131"/>
      <c r="N5" s="1206" t="s">
        <v>1782</v>
      </c>
      <c r="O5" s="2131"/>
      <c r="P5" s="1218"/>
      <c r="Q5" s="2133"/>
      <c r="R5" s="2133"/>
      <c r="S5" s="1208" t="s">
        <v>1782</v>
      </c>
      <c r="T5" s="2133"/>
      <c r="U5" s="1230"/>
    </row>
    <row r="6" spans="2:31" ht="15" thickBot="1" x14ac:dyDescent="0.3">
      <c r="B6" s="1222" t="s">
        <v>1783</v>
      </c>
      <c r="C6" s="1223" t="s">
        <v>1784</v>
      </c>
      <c r="D6" s="1223" t="s">
        <v>1785</v>
      </c>
      <c r="F6" s="1209" t="s">
        <v>1649</v>
      </c>
      <c r="G6" s="1210"/>
      <c r="H6" s="1210">
        <v>0.94</v>
      </c>
      <c r="I6" s="1210">
        <v>2800</v>
      </c>
      <c r="J6" s="1210">
        <v>51.4</v>
      </c>
      <c r="K6" s="1231">
        <f>+I6*J6*SQRT(3)</f>
        <v>249276.75222531281</v>
      </c>
      <c r="L6" s="1210"/>
      <c r="M6" s="1210">
        <v>0.96</v>
      </c>
      <c r="N6" s="1210">
        <v>2800</v>
      </c>
      <c r="O6" s="1210">
        <v>31.3</v>
      </c>
      <c r="P6" s="1231">
        <f>+N6*O6*SQRT(3)</f>
        <v>151796.93277533641</v>
      </c>
      <c r="Q6" s="1210"/>
      <c r="R6" s="1210">
        <v>0.96</v>
      </c>
      <c r="S6" s="1210">
        <v>2800</v>
      </c>
      <c r="T6" s="1210">
        <v>32.299999999999997</v>
      </c>
      <c r="U6" s="1231">
        <f>+S6*T6*SQRT(3)</f>
        <v>156646.67503652922</v>
      </c>
    </row>
    <row r="7" spans="2:31" ht="15" thickBot="1" x14ac:dyDescent="0.3">
      <c r="B7" s="1222" t="s">
        <v>1786</v>
      </c>
      <c r="C7" s="1223" t="s">
        <v>1787</v>
      </c>
      <c r="D7" s="1223" t="s">
        <v>1788</v>
      </c>
      <c r="F7" s="1211" t="s">
        <v>1789</v>
      </c>
      <c r="G7" s="1212" t="s">
        <v>1790</v>
      </c>
      <c r="H7" s="1212">
        <v>0.96</v>
      </c>
      <c r="I7" s="1212">
        <v>2028</v>
      </c>
      <c r="J7" s="1212">
        <v>35</v>
      </c>
      <c r="K7" s="1231">
        <f t="shared" ref="K7:K8" si="0">+I7*J7*SQRT(3)</f>
        <v>122940.9663212389</v>
      </c>
      <c r="L7" s="1212" t="s">
        <v>1791</v>
      </c>
      <c r="M7" s="1212">
        <v>0.96</v>
      </c>
      <c r="N7" s="1212">
        <v>2295</v>
      </c>
      <c r="O7" s="1212">
        <v>45</v>
      </c>
      <c r="P7" s="1231">
        <f t="shared" ref="P7:P8" si="1">+N7*O7*SQRT(3)</f>
        <v>178877.5471516758</v>
      </c>
      <c r="Q7" s="1212" t="s">
        <v>1791</v>
      </c>
      <c r="R7" s="1212">
        <v>0.96</v>
      </c>
      <c r="S7" s="1212">
        <v>2295</v>
      </c>
      <c r="T7" s="1212">
        <v>45</v>
      </c>
      <c r="U7" s="1231">
        <f t="shared" ref="U7:U8" si="2">+S7*T7*SQRT(3)</f>
        <v>178877.5471516758</v>
      </c>
    </row>
    <row r="8" spans="2:31" ht="15" thickBot="1" x14ac:dyDescent="0.3">
      <c r="B8" s="2134" t="s">
        <v>1792</v>
      </c>
      <c r="C8" s="1225" t="s">
        <v>1793</v>
      </c>
      <c r="D8" s="2134" t="s">
        <v>1794</v>
      </c>
      <c r="F8" s="1209" t="s">
        <v>1795</v>
      </c>
      <c r="G8" s="1210">
        <v>0.91800000000000004</v>
      </c>
      <c r="H8" s="1210">
        <v>0.94699999999999995</v>
      </c>
      <c r="I8" s="1210">
        <v>1545</v>
      </c>
      <c r="J8" s="1210">
        <v>49</v>
      </c>
      <c r="K8" s="1231">
        <f t="shared" si="0"/>
        <v>131124.90638700186</v>
      </c>
      <c r="L8" s="1210">
        <v>0.91</v>
      </c>
      <c r="M8" s="1210">
        <v>0.93100000000000005</v>
      </c>
      <c r="N8" s="1210">
        <v>2575</v>
      </c>
      <c r="O8" s="1210">
        <v>49</v>
      </c>
      <c r="P8" s="1231">
        <f t="shared" si="1"/>
        <v>218541.51064500309</v>
      </c>
      <c r="Q8" s="1210">
        <v>0.91</v>
      </c>
      <c r="R8" s="1210">
        <v>0.93100000000000005</v>
      </c>
      <c r="S8" s="1210">
        <v>2575</v>
      </c>
      <c r="T8" s="1210">
        <v>49</v>
      </c>
      <c r="U8" s="1231">
        <f t="shared" si="2"/>
        <v>218541.51064500309</v>
      </c>
    </row>
    <row r="9" spans="2:31" x14ac:dyDescent="0.25">
      <c r="B9" s="2135"/>
      <c r="C9" s="1226"/>
      <c r="D9" s="2135"/>
      <c r="F9">
        <v>1</v>
      </c>
      <c r="G9">
        <v>2</v>
      </c>
      <c r="H9">
        <v>3</v>
      </c>
      <c r="I9">
        <v>4</v>
      </c>
      <c r="J9">
        <v>5</v>
      </c>
      <c r="K9">
        <v>6</v>
      </c>
      <c r="L9">
        <v>7</v>
      </c>
      <c r="M9">
        <v>8</v>
      </c>
      <c r="N9">
        <v>9</v>
      </c>
      <c r="O9">
        <v>10</v>
      </c>
      <c r="P9">
        <v>11</v>
      </c>
      <c r="Q9">
        <v>12</v>
      </c>
      <c r="R9">
        <v>13</v>
      </c>
      <c r="S9">
        <v>14</v>
      </c>
      <c r="T9">
        <v>15</v>
      </c>
      <c r="U9">
        <v>16</v>
      </c>
    </row>
    <row r="10" spans="2:31" ht="15" thickBot="1" x14ac:dyDescent="0.3">
      <c r="B10" s="2136"/>
      <c r="C10" s="1227" t="s">
        <v>1793</v>
      </c>
      <c r="D10" s="2136"/>
      <c r="F10" s="1234"/>
      <c r="G10" s="2113" t="s">
        <v>1649</v>
      </c>
      <c r="H10" s="2114"/>
      <c r="I10" s="2114"/>
      <c r="J10" s="2114"/>
      <c r="K10" s="2115"/>
      <c r="L10" s="2113" t="s">
        <v>1796</v>
      </c>
      <c r="M10" s="2114"/>
      <c r="N10" s="2114"/>
      <c r="O10" s="2114"/>
      <c r="P10" s="2115"/>
      <c r="Q10" s="2113" t="s">
        <v>1780</v>
      </c>
      <c r="R10" s="2114"/>
      <c r="S10" s="2114"/>
      <c r="T10" s="2114"/>
      <c r="U10" s="2115"/>
    </row>
    <row r="11" spans="2:31" ht="72.599999999999994" thickBot="1" x14ac:dyDescent="0.3">
      <c r="B11" s="1222" t="s">
        <v>1797</v>
      </c>
      <c r="C11" s="1223" t="s">
        <v>1798</v>
      </c>
      <c r="D11" s="1223" t="s">
        <v>1799</v>
      </c>
      <c r="F11" s="1234" t="s">
        <v>108</v>
      </c>
      <c r="G11" s="1234" t="s">
        <v>1800</v>
      </c>
      <c r="H11" s="1234" t="s">
        <v>1801</v>
      </c>
      <c r="I11" s="1234" t="s">
        <v>1802</v>
      </c>
      <c r="J11" s="1234" t="s">
        <v>1803</v>
      </c>
      <c r="K11" s="1234" t="s">
        <v>1804</v>
      </c>
      <c r="L11" s="1234" t="s">
        <v>1800</v>
      </c>
      <c r="M11" s="1234" t="s">
        <v>1801</v>
      </c>
      <c r="N11" s="1234" t="s">
        <v>1802</v>
      </c>
      <c r="O11" s="1234" t="s">
        <v>1803</v>
      </c>
      <c r="P11" s="1234" t="s">
        <v>1804</v>
      </c>
      <c r="Q11" s="1234" t="s">
        <v>1800</v>
      </c>
      <c r="R11" s="1234" t="s">
        <v>1801</v>
      </c>
      <c r="S11" s="1234" t="s">
        <v>1802</v>
      </c>
      <c r="T11" s="1234" t="s">
        <v>1803</v>
      </c>
      <c r="U11" s="1234" t="s">
        <v>1804</v>
      </c>
      <c r="W11" s="1234" t="s">
        <v>1579</v>
      </c>
      <c r="X11" s="1234" t="s">
        <v>1805</v>
      </c>
      <c r="Y11" s="1234" t="s">
        <v>1806</v>
      </c>
      <c r="Z11" s="1234" t="s">
        <v>1807</v>
      </c>
      <c r="AA11" s="1234" t="s">
        <v>1808</v>
      </c>
      <c r="AB11" s="1234" t="s">
        <v>1809</v>
      </c>
      <c r="AC11" s="1234" t="s">
        <v>1810</v>
      </c>
      <c r="AD11" s="1234" t="s">
        <v>1811</v>
      </c>
    </row>
    <row r="12" spans="2:31" ht="15" thickBot="1" x14ac:dyDescent="0.3">
      <c r="B12" s="1222" t="s">
        <v>1812</v>
      </c>
      <c r="C12" s="1223" t="s">
        <v>1813</v>
      </c>
      <c r="D12" s="1223" t="s">
        <v>1814</v>
      </c>
      <c r="F12" s="1233">
        <v>1</v>
      </c>
      <c r="G12" s="1236">
        <f>+AVERAGE(L12,Q12)</f>
        <v>0.879</v>
      </c>
      <c r="H12" s="1236">
        <v>0.96</v>
      </c>
      <c r="I12" s="1233">
        <f>110000/(SQRT(3)*H12*J12)</f>
        <v>2113.5692761867294</v>
      </c>
      <c r="J12" s="1235">
        <v>31.3</v>
      </c>
      <c r="K12" s="1235">
        <f>+I12*J12*SQRT(3)*H12</f>
        <v>110000</v>
      </c>
      <c r="L12" s="1236">
        <v>0.84</v>
      </c>
      <c r="M12" s="1236">
        <v>0.96</v>
      </c>
      <c r="N12" s="1233">
        <v>2028</v>
      </c>
      <c r="O12" s="1235">
        <v>35</v>
      </c>
      <c r="P12" s="1233">
        <f>+N12*O12*SQRT(3)*M12</f>
        <v>118023.32766838933</v>
      </c>
      <c r="Q12" s="1259">
        <v>0.91800000000000004</v>
      </c>
      <c r="R12" s="1259">
        <v>0.94699999999999995</v>
      </c>
      <c r="S12" s="1258">
        <v>1545</v>
      </c>
      <c r="T12" s="1260">
        <v>49</v>
      </c>
      <c r="U12" s="1260">
        <f>+S12*T12*SQRT(3)*R12</f>
        <v>124175.28634849076</v>
      </c>
      <c r="W12" s="1233">
        <v>1</v>
      </c>
      <c r="X12" s="1233">
        <v>150</v>
      </c>
      <c r="Y12" s="1290">
        <f>+MIN(Q12,L12,G12)</f>
        <v>0.84</v>
      </c>
      <c r="Z12" s="1290">
        <f>+MIN(R12,M12,H12)</f>
        <v>0.94699999999999995</v>
      </c>
      <c r="AA12" s="191">
        <f>+X12*0.746/Y12</f>
        <v>133.21428571428572</v>
      </c>
      <c r="AB12" s="191">
        <f>+AA12/Z12</f>
        <v>140.66978428118873</v>
      </c>
      <c r="AC12" s="1295">
        <f>+MIN(S12,N12,I12)</f>
        <v>1545</v>
      </c>
      <c r="AD12" s="1363">
        <f>+SQRT(AB12^2-AA12^2)</f>
        <v>45.187855573691735</v>
      </c>
      <c r="AE12">
        <f>+AB12*0.85</f>
        <v>119.56931663901041</v>
      </c>
    </row>
    <row r="13" spans="2:31" ht="15" thickBot="1" x14ac:dyDescent="0.3">
      <c r="B13" s="1222" t="s">
        <v>1815</v>
      </c>
      <c r="C13" s="1223" t="s">
        <v>1816</v>
      </c>
      <c r="D13" s="1223" t="s">
        <v>1817</v>
      </c>
      <c r="F13" s="1233">
        <v>2</v>
      </c>
      <c r="G13" s="1236">
        <f t="shared" ref="G13:G14" si="3">+AVERAGE(L13,Q13)</f>
        <v>0.89500000000000002</v>
      </c>
      <c r="H13" s="1236">
        <v>0.96</v>
      </c>
      <c r="I13" s="1233">
        <f>140000/(SQRT(3)*H13*J13)</f>
        <v>2606.7156116662677</v>
      </c>
      <c r="J13" s="1235">
        <v>32.299999999999997</v>
      </c>
      <c r="K13" s="1235">
        <f>+I13*J13*SQRT(3)*H13</f>
        <v>140000</v>
      </c>
      <c r="L13" s="1236">
        <v>0.88</v>
      </c>
      <c r="M13" s="1236">
        <v>0.96</v>
      </c>
      <c r="N13" s="1233">
        <v>2295</v>
      </c>
      <c r="O13" s="1235">
        <v>45</v>
      </c>
      <c r="P13" s="1233">
        <f>+N13*O13*SQRT(3)*M13</f>
        <v>171722.44526560875</v>
      </c>
      <c r="Q13" s="1259">
        <v>0.91</v>
      </c>
      <c r="R13" s="1259">
        <v>0.93100000000000005</v>
      </c>
      <c r="S13" s="1258">
        <v>2575</v>
      </c>
      <c r="T13" s="1260">
        <v>49</v>
      </c>
      <c r="U13" s="1260">
        <f>+S13*T13*SQRT(3)*R13</f>
        <v>203462.14641049789</v>
      </c>
      <c r="W13" s="1233">
        <v>2</v>
      </c>
      <c r="X13" s="1233">
        <v>250</v>
      </c>
      <c r="Y13" s="1290">
        <f t="shared" ref="Y13:Y14" si="4">+MIN(Q13,L13,G13)</f>
        <v>0.88</v>
      </c>
      <c r="Z13" s="1290">
        <f t="shared" ref="Z13:Z14" si="5">+MIN(R13,M13,H13)</f>
        <v>0.93100000000000005</v>
      </c>
      <c r="AA13" s="191">
        <f t="shared" ref="AA13" si="6">+X13*0.746/Y13</f>
        <v>211.93181818181819</v>
      </c>
      <c r="AB13" s="191">
        <f t="shared" ref="AB13:AB14" si="7">+AA13/Z13</f>
        <v>227.63890245093251</v>
      </c>
      <c r="AC13" s="1295">
        <f t="shared" ref="AC13:AC14" si="8">+MIN(S13,N13,I13)</f>
        <v>2295</v>
      </c>
      <c r="AD13" s="1363">
        <f t="shared" ref="AD13:AD15" si="9">+SQRT(AB13^2-AA13^2)</f>
        <v>83.092564957485337</v>
      </c>
      <c r="AE13">
        <f t="shared" ref="AE13:AE15" si="10">+AB13*0.85</f>
        <v>193.49306708329263</v>
      </c>
    </row>
    <row r="14" spans="2:31" ht="15" thickBot="1" x14ac:dyDescent="0.3">
      <c r="B14" s="1224"/>
      <c r="C14" s="1228"/>
      <c r="D14" s="1228"/>
      <c r="F14" s="1258">
        <v>3</v>
      </c>
      <c r="G14" s="1259">
        <f t="shared" si="3"/>
        <v>0.89500000000000002</v>
      </c>
      <c r="H14" s="1259">
        <v>0.96</v>
      </c>
      <c r="I14" s="1258">
        <f>240000/(SQRT(3)*H14*J14)</f>
        <v>2808.1238773814489</v>
      </c>
      <c r="J14" s="1260">
        <v>51.4</v>
      </c>
      <c r="K14" s="1260">
        <f>+I14*J14*SQRT(3)*H14</f>
        <v>240000.00000000003</v>
      </c>
      <c r="L14" s="1236">
        <v>0.88</v>
      </c>
      <c r="M14" s="1236">
        <v>0.96</v>
      </c>
      <c r="N14" s="1233">
        <v>2295</v>
      </c>
      <c r="O14" s="1235">
        <v>45</v>
      </c>
      <c r="P14" s="1233">
        <f>+N14*O14*SQRT(3)*M14</f>
        <v>171722.44526560875</v>
      </c>
      <c r="Q14" s="1236">
        <v>0.91</v>
      </c>
      <c r="R14" s="1236">
        <v>0.93100000000000005</v>
      </c>
      <c r="S14" s="1233">
        <v>2575</v>
      </c>
      <c r="T14" s="1235">
        <v>49</v>
      </c>
      <c r="U14" s="1235">
        <f>+S14*T14*SQRT(3)*R14</f>
        <v>203462.14641049789</v>
      </c>
      <c r="W14" s="1359">
        <v>3</v>
      </c>
      <c r="X14" s="1359">
        <v>250</v>
      </c>
      <c r="Y14" s="1360">
        <f t="shared" si="4"/>
        <v>0.88</v>
      </c>
      <c r="Z14" s="1360">
        <f t="shared" si="5"/>
        <v>0.93100000000000005</v>
      </c>
      <c r="AA14" s="1361">
        <f t="shared" ref="AA14:AA19" si="11">+X14*0.746/Y14</f>
        <v>211.93181818181819</v>
      </c>
      <c r="AB14" s="1361">
        <f t="shared" si="7"/>
        <v>227.63890245093251</v>
      </c>
      <c r="AC14" s="1362">
        <f t="shared" si="8"/>
        <v>2295</v>
      </c>
      <c r="AD14" s="1363">
        <f t="shared" si="9"/>
        <v>83.092564957485337</v>
      </c>
      <c r="AE14">
        <f t="shared" si="10"/>
        <v>193.49306708329263</v>
      </c>
    </row>
    <row r="15" spans="2:31" ht="15" thickBot="1" x14ac:dyDescent="0.3">
      <c r="B15" s="2138" t="s">
        <v>1818</v>
      </c>
      <c r="C15" s="2139"/>
      <c r="D15" s="2140"/>
      <c r="W15" s="1364">
        <v>4</v>
      </c>
      <c r="X15" s="1364">
        <v>100</v>
      </c>
      <c r="Y15" s="1365">
        <v>0.94099999999999995</v>
      </c>
      <c r="Z15" s="1365">
        <v>0.79600000000000004</v>
      </c>
      <c r="AA15" s="1367">
        <f t="shared" si="11"/>
        <v>79.277364505844844</v>
      </c>
      <c r="AB15" s="1367">
        <f>+AA15/Z15</f>
        <v>99.594679027443263</v>
      </c>
      <c r="AC15" s="1370">
        <v>480</v>
      </c>
      <c r="AD15" s="1369">
        <f t="shared" si="9"/>
        <v>60.284322734744713</v>
      </c>
      <c r="AE15">
        <f t="shared" si="10"/>
        <v>84.655477173326773</v>
      </c>
    </row>
    <row r="16" spans="2:31" ht="15" thickBot="1" x14ac:dyDescent="0.3">
      <c r="B16" s="1219" t="s">
        <v>1780</v>
      </c>
      <c r="C16" s="1220" t="s">
        <v>1781</v>
      </c>
      <c r="D16" s="1221" t="s">
        <v>1649</v>
      </c>
      <c r="W16" s="1233">
        <v>5</v>
      </c>
      <c r="X16" s="1233">
        <v>125</v>
      </c>
      <c r="Y16" s="1290">
        <f>+Y12</f>
        <v>0.84</v>
      </c>
      <c r="Z16" s="1290">
        <v>0.95</v>
      </c>
      <c r="AA16" s="191">
        <f t="shared" si="11"/>
        <v>111.01190476190476</v>
      </c>
      <c r="AB16" s="191">
        <f>+AA16/Z16</f>
        <v>116.85463659147869</v>
      </c>
      <c r="AC16" s="1295">
        <f>+AC12</f>
        <v>1545</v>
      </c>
      <c r="AD16" s="1363">
        <f>+SQRT(AB16^2-AA16^2)</f>
        <v>36.487848580867819</v>
      </c>
      <c r="AE16">
        <f>+AB16*0.85</f>
        <v>99.326441102756888</v>
      </c>
    </row>
    <row r="17" spans="2:31" ht="14.4" x14ac:dyDescent="0.25">
      <c r="B17" s="2134" t="s">
        <v>1819</v>
      </c>
      <c r="C17" s="2134" t="s">
        <v>1820</v>
      </c>
      <c r="D17" s="1225" t="s">
        <v>1821</v>
      </c>
      <c r="W17" s="1364">
        <v>6</v>
      </c>
      <c r="X17" s="1364">
        <v>50</v>
      </c>
      <c r="Y17" s="1365">
        <v>0.94099999999999995</v>
      </c>
      <c r="Z17" s="1366">
        <v>0.85899999999999999</v>
      </c>
      <c r="AA17" s="1367">
        <f t="shared" si="11"/>
        <v>39.638682252922422</v>
      </c>
      <c r="AB17" s="1367">
        <f>+AA17/Z17</f>
        <v>46.145148140771155</v>
      </c>
      <c r="AC17" s="1368">
        <v>480</v>
      </c>
      <c r="AD17" s="1369">
        <f>+SQRT(AB17^2-AA17^2)</f>
        <v>23.625189230682764</v>
      </c>
      <c r="AE17">
        <f>+AB17*0.85</f>
        <v>39.223375919655481</v>
      </c>
    </row>
    <row r="18" spans="2:31" ht="15" thickBot="1" x14ac:dyDescent="0.3">
      <c r="B18" s="2136"/>
      <c r="C18" s="2136"/>
      <c r="D18" s="1227" t="s">
        <v>1822</v>
      </c>
      <c r="W18" s="1364">
        <v>7</v>
      </c>
      <c r="X18" s="1364">
        <v>75</v>
      </c>
      <c r="Y18" s="1366">
        <v>0.95</v>
      </c>
      <c r="Z18" s="1366">
        <v>0.85799999999999998</v>
      </c>
      <c r="AA18" s="1367">
        <f t="shared" si="11"/>
        <v>58.894736842105267</v>
      </c>
      <c r="AB18" s="1367">
        <f>+AA18/Z18</f>
        <v>68.641884431358122</v>
      </c>
      <c r="AC18" s="1368">
        <v>480</v>
      </c>
      <c r="AD18" s="1369">
        <f>+SQRT(AB18^2-AA18^2)</f>
        <v>35.25788238943305</v>
      </c>
      <c r="AE18">
        <f>+AB18*0.85</f>
        <v>58.345601766654404</v>
      </c>
    </row>
    <row r="19" spans="2:31" ht="14.4" x14ac:dyDescent="0.25">
      <c r="B19" s="2134" t="s">
        <v>1786</v>
      </c>
      <c r="C19" s="2134" t="s">
        <v>1787</v>
      </c>
      <c r="D19" s="1225" t="s">
        <v>1823</v>
      </c>
      <c r="W19" s="1364">
        <v>8</v>
      </c>
      <c r="X19" s="1364">
        <v>125</v>
      </c>
      <c r="Y19" s="1366">
        <v>0.95</v>
      </c>
      <c r="Z19" s="1366">
        <v>0.81</v>
      </c>
      <c r="AA19" s="1367">
        <f t="shared" si="11"/>
        <v>98.15789473684211</v>
      </c>
      <c r="AB19" s="1367">
        <f>+AA19/Z19</f>
        <v>121.18258609486679</v>
      </c>
      <c r="AC19" s="1368">
        <v>480</v>
      </c>
      <c r="AD19" s="1369">
        <f>+SQRT(AB19^2-AA19^2)</f>
        <v>71.065088992210704</v>
      </c>
      <c r="AE19">
        <f>+AB19*0.85</f>
        <v>103.00519818063677</v>
      </c>
    </row>
    <row r="20" spans="2:31" ht="15" thickBot="1" x14ac:dyDescent="0.3">
      <c r="B20" s="2136"/>
      <c r="C20" s="2136"/>
      <c r="D20" s="1227" t="s">
        <v>1824</v>
      </c>
      <c r="W20" s="1388">
        <v>9</v>
      </c>
      <c r="X20" s="1388">
        <v>260</v>
      </c>
      <c r="Y20" s="54">
        <v>0.97</v>
      </c>
      <c r="Z20" s="54">
        <v>0.95</v>
      </c>
      <c r="AA20" s="1367">
        <f>+X20*Z20</f>
        <v>247</v>
      </c>
      <c r="AB20" s="1367">
        <f>+X20</f>
        <v>260</v>
      </c>
      <c r="AC20" s="1368">
        <v>480</v>
      </c>
      <c r="AD20" s="1369">
        <f>+SQRT(AB20^2-AA20^2)</f>
        <v>81.184973979179176</v>
      </c>
    </row>
    <row r="21" spans="2:31" ht="14.4" x14ac:dyDescent="0.25">
      <c r="B21" s="2134" t="s">
        <v>1825</v>
      </c>
      <c r="C21" s="1225" t="s">
        <v>1793</v>
      </c>
      <c r="D21" s="2134" t="s">
        <v>1826</v>
      </c>
      <c r="Y21" s="1298" t="s">
        <v>1827</v>
      </c>
    </row>
    <row r="22" spans="2:31" x14ac:dyDescent="0.25">
      <c r="B22" s="2135"/>
      <c r="C22" s="1226"/>
      <c r="D22" s="2135"/>
      <c r="Y22" s="1298" t="s">
        <v>1828</v>
      </c>
    </row>
    <row r="23" spans="2:31" ht="15" thickBot="1" x14ac:dyDescent="0.3">
      <c r="B23" s="2136"/>
      <c r="C23" s="1227" t="s">
        <v>1793</v>
      </c>
      <c r="D23" s="2136"/>
      <c r="Y23" s="1298" t="s">
        <v>1829</v>
      </c>
    </row>
    <row r="24" spans="2:31" ht="15" thickBot="1" x14ac:dyDescent="0.3">
      <c r="B24" s="1222" t="s">
        <v>1830</v>
      </c>
      <c r="C24" s="1223" t="s">
        <v>1831</v>
      </c>
      <c r="D24" s="1223" t="s">
        <v>1832</v>
      </c>
      <c r="Y24" s="1298" t="s">
        <v>1833</v>
      </c>
    </row>
    <row r="25" spans="2:31" ht="15" thickBot="1" x14ac:dyDescent="0.3">
      <c r="B25" s="1222" t="s">
        <v>1812</v>
      </c>
      <c r="C25" s="1223" t="s">
        <v>1813</v>
      </c>
      <c r="D25" s="1223" t="s">
        <v>1814</v>
      </c>
      <c r="Y25" s="1298" t="s">
        <v>1834</v>
      </c>
    </row>
    <row r="26" spans="2:31" ht="15" thickBot="1" x14ac:dyDescent="0.3">
      <c r="B26" s="1222" t="s">
        <v>1815</v>
      </c>
      <c r="C26" s="1223" t="s">
        <v>1816</v>
      </c>
      <c r="D26" s="1223" t="s">
        <v>1817</v>
      </c>
      <c r="Y26" s="1298" t="s">
        <v>1835</v>
      </c>
    </row>
    <row r="27" spans="2:31" ht="15" thickBot="1" x14ac:dyDescent="0.3">
      <c r="B27" s="1224"/>
      <c r="C27" s="1228"/>
      <c r="D27" s="1228"/>
      <c r="Y27" s="1298" t="s">
        <v>1836</v>
      </c>
    </row>
    <row r="28" spans="2:31" ht="15" thickBot="1" x14ac:dyDescent="0.3">
      <c r="B28" s="2138" t="s">
        <v>1837</v>
      </c>
      <c r="C28" s="2139"/>
      <c r="D28" s="2140"/>
    </row>
    <row r="29" spans="2:31" ht="15" thickBot="1" x14ac:dyDescent="0.3">
      <c r="B29" s="1219" t="s">
        <v>1780</v>
      </c>
      <c r="C29" s="1220" t="s">
        <v>1781</v>
      </c>
      <c r="D29" s="1221" t="s">
        <v>1649</v>
      </c>
      <c r="Y29" s="149" t="s">
        <v>1838</v>
      </c>
    </row>
    <row r="30" spans="2:31" ht="29.4" thickBot="1" x14ac:dyDescent="0.3">
      <c r="B30" s="1222" t="s">
        <v>1839</v>
      </c>
      <c r="C30" s="1223" t="s">
        <v>1840</v>
      </c>
      <c r="D30" s="1227" t="s">
        <v>1841</v>
      </c>
    </row>
    <row r="31" spans="2:31" ht="15" thickBot="1" x14ac:dyDescent="0.3">
      <c r="B31" s="1222" t="s">
        <v>1786</v>
      </c>
      <c r="C31" s="1227" t="s">
        <v>1787</v>
      </c>
      <c r="D31" s="1223" t="s">
        <v>1842</v>
      </c>
    </row>
    <row r="32" spans="2:31" ht="14.4" x14ac:dyDescent="0.25">
      <c r="B32" s="2134" t="s">
        <v>1825</v>
      </c>
      <c r="C32" s="1225" t="s">
        <v>1793</v>
      </c>
      <c r="D32" s="2134" t="s">
        <v>1843</v>
      </c>
    </row>
    <row r="33" spans="2:11" x14ac:dyDescent="0.25">
      <c r="B33" s="2135"/>
      <c r="C33" s="1226"/>
      <c r="D33" s="2135"/>
    </row>
    <row r="34" spans="2:11" ht="15" thickBot="1" x14ac:dyDescent="0.3">
      <c r="B34" s="2136"/>
      <c r="C34" s="1227" t="s">
        <v>1793</v>
      </c>
      <c r="D34" s="2136"/>
    </row>
    <row r="35" spans="2:11" ht="15" thickBot="1" x14ac:dyDescent="0.3">
      <c r="B35" s="1222" t="s">
        <v>1830</v>
      </c>
      <c r="C35" s="1223" t="s">
        <v>1844</v>
      </c>
      <c r="D35" s="1223" t="s">
        <v>1845</v>
      </c>
    </row>
    <row r="36" spans="2:11" ht="15" thickBot="1" x14ac:dyDescent="0.3">
      <c r="B36" s="1222" t="s">
        <v>1812</v>
      </c>
      <c r="C36" s="1223" t="s">
        <v>1813</v>
      </c>
      <c r="D36" s="1223" t="s">
        <v>1846</v>
      </c>
    </row>
    <row r="37" spans="2:11" ht="15" thickBot="1" x14ac:dyDescent="0.3">
      <c r="B37" s="1222" t="s">
        <v>1815</v>
      </c>
      <c r="C37" s="1223" t="s">
        <v>1816</v>
      </c>
      <c r="D37" s="1227" t="s">
        <v>1817</v>
      </c>
    </row>
    <row r="40" spans="2:11" x14ac:dyDescent="0.25">
      <c r="F40" s="75" t="s">
        <v>1847</v>
      </c>
    </row>
    <row r="41" spans="2:11" x14ac:dyDescent="0.25">
      <c r="F41" s="75" t="s">
        <v>1848</v>
      </c>
    </row>
    <row r="42" spans="2:11" x14ac:dyDescent="0.25">
      <c r="F42" s="75" t="s">
        <v>1849</v>
      </c>
    </row>
    <row r="43" spans="2:11" x14ac:dyDescent="0.25">
      <c r="F43" s="75" t="s">
        <v>1850</v>
      </c>
    </row>
    <row r="46" spans="2:11" ht="14.4" x14ac:dyDescent="0.25">
      <c r="H46" s="1259">
        <v>0.96</v>
      </c>
      <c r="I46" s="1258">
        <f>110000/(SQRT(3)*H46*J46)</f>
        <v>2113.5692761867294</v>
      </c>
      <c r="J46" s="1235">
        <v>31.3</v>
      </c>
      <c r="K46" s="1235">
        <f>+I46*J46*SQRT(3)*H46</f>
        <v>110000</v>
      </c>
    </row>
    <row r="47" spans="2:11" ht="14.4" x14ac:dyDescent="0.25">
      <c r="H47" s="1259">
        <v>0.96</v>
      </c>
      <c r="I47" s="1258">
        <f>140000/(SQRT(3)*H47*J47)</f>
        <v>2606.7156116662677</v>
      </c>
      <c r="J47" s="1235">
        <v>32.299999999999997</v>
      </c>
      <c r="K47" s="1235">
        <f>+I47*J47*SQRT(3)*H47</f>
        <v>140000</v>
      </c>
    </row>
    <row r="48" spans="2:11" ht="14.4" x14ac:dyDescent="0.25">
      <c r="H48" s="1259">
        <v>0.96</v>
      </c>
      <c r="I48" s="1258">
        <f>240000/(SQRT(3)*H48*J48)</f>
        <v>2808.1238773814489</v>
      </c>
      <c r="J48" s="1260">
        <v>51.4</v>
      </c>
      <c r="K48" s="1260">
        <f>+I48*J48*SQRT(3)*H48</f>
        <v>240000.00000000003</v>
      </c>
    </row>
    <row r="50" spans="8:11" ht="14.4" x14ac:dyDescent="0.25">
      <c r="H50" s="1236">
        <v>0.96</v>
      </c>
      <c r="I50" s="1233">
        <v>2350</v>
      </c>
      <c r="J50" s="1235">
        <v>31.3</v>
      </c>
      <c r="K50" s="1235">
        <f>+I50*J50*SQRT(3)*H50</f>
        <v>122304.95726469959</v>
      </c>
    </row>
    <row r="51" spans="8:11" ht="14.4" x14ac:dyDescent="0.25">
      <c r="H51" s="1236">
        <v>0.96</v>
      </c>
      <c r="I51" s="1233">
        <v>2900</v>
      </c>
      <c r="J51" s="1235">
        <v>32.299999999999997</v>
      </c>
      <c r="K51" s="1235">
        <f>+I51*J51*SQRT(3)*H51</f>
        <v>155751.55117917762</v>
      </c>
    </row>
    <row r="52" spans="8:11" ht="14.4" x14ac:dyDescent="0.25">
      <c r="H52" s="1236">
        <v>0.96</v>
      </c>
      <c r="I52" s="1258">
        <v>3120</v>
      </c>
      <c r="J52" s="1260">
        <v>51.4</v>
      </c>
      <c r="K52" s="1260">
        <f>+I52*J52*SQRT(3)*H52</f>
        <v>266654.90295187745</v>
      </c>
    </row>
    <row r="54" spans="8:11" ht="14.4" x14ac:dyDescent="0.25">
      <c r="H54" s="1236">
        <f>110000/(SQRT(3)*I54*J54)</f>
        <v>0.86341553410181271</v>
      </c>
      <c r="I54" s="1233">
        <v>2350</v>
      </c>
      <c r="J54" s="1235">
        <v>31.3</v>
      </c>
      <c r="K54" s="1235">
        <f>+I54*J54*SQRT(3)*H54</f>
        <v>109999.99999999999</v>
      </c>
    </row>
    <row r="55" spans="8:11" ht="14.4" x14ac:dyDescent="0.25">
      <c r="H55" s="1236">
        <f>140000/(SQRT(3)*I55*J55)</f>
        <v>0.86291275420676439</v>
      </c>
      <c r="I55" s="1233">
        <v>2900</v>
      </c>
      <c r="J55" s="1235">
        <v>32.299999999999997</v>
      </c>
      <c r="K55" s="1235">
        <f>+I55*J55*SQRT(3)*H55</f>
        <v>140000</v>
      </c>
    </row>
    <row r="56" spans="8:11" ht="14.4" x14ac:dyDescent="0.25">
      <c r="H56" s="1236">
        <f>240000/(SQRT(3)*I56*J56)</f>
        <v>0.8640381161173688</v>
      </c>
      <c r="I56" s="1258">
        <v>3120</v>
      </c>
      <c r="J56" s="1260">
        <v>51.4</v>
      </c>
      <c r="K56" s="1260">
        <f>+I56*J56*SQRT(3)*H56</f>
        <v>240000</v>
      </c>
    </row>
  </sheetData>
  <mergeCells count="30">
    <mergeCell ref="B32:B34"/>
    <mergeCell ref="D32:D34"/>
    <mergeCell ref="B3:D3"/>
    <mergeCell ref="B4:D4"/>
    <mergeCell ref="B8:B10"/>
    <mergeCell ref="D8:D10"/>
    <mergeCell ref="B15:D15"/>
    <mergeCell ref="B17:B18"/>
    <mergeCell ref="C17:C18"/>
    <mergeCell ref="B19:B20"/>
    <mergeCell ref="C19:C20"/>
    <mergeCell ref="B21:B23"/>
    <mergeCell ref="D21:D23"/>
    <mergeCell ref="B28:D28"/>
    <mergeCell ref="G10:K10"/>
    <mergeCell ref="L10:P10"/>
    <mergeCell ref="Q10:U10"/>
    <mergeCell ref="F3:F5"/>
    <mergeCell ref="H3:J3"/>
    <mergeCell ref="M3:O3"/>
    <mergeCell ref="R3:T3"/>
    <mergeCell ref="H4:H5"/>
    <mergeCell ref="J4:J5"/>
    <mergeCell ref="M4:M5"/>
    <mergeCell ref="O4:O5"/>
    <mergeCell ref="R4:R5"/>
    <mergeCell ref="T4:T5"/>
    <mergeCell ref="L4:L5"/>
    <mergeCell ref="Q4:Q5"/>
    <mergeCell ref="G4:G5"/>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42C3E-5684-46E5-B948-50CA7C816EB6}">
  <sheetPr codeName="Hoja28"/>
  <dimension ref="A1:P18"/>
  <sheetViews>
    <sheetView view="pageBreakPreview" topLeftCell="B11" zoomScale="70" zoomScaleNormal="60" zoomScaleSheetLayoutView="70" workbookViewId="0">
      <selection activeCell="L11" sqref="L11"/>
    </sheetView>
  </sheetViews>
  <sheetFormatPr baseColWidth="10" defaultColWidth="11.44140625" defaultRowHeight="36" customHeight="1" x14ac:dyDescent="0.25"/>
  <cols>
    <col min="1" max="1" width="8.44140625" style="316" hidden="1" customWidth="1"/>
    <col min="2" max="2" width="9.5546875" style="315" customWidth="1"/>
    <col min="3" max="3" width="66" style="316" customWidth="1"/>
    <col min="4" max="4" width="20.44140625" style="315" customWidth="1"/>
    <col min="5" max="5" width="17.88671875" style="315" customWidth="1"/>
    <col min="6" max="6" width="100.88671875" style="316" customWidth="1"/>
    <col min="7" max="7" width="20.44140625" style="315" customWidth="1"/>
    <col min="8" max="9" width="14.5546875" style="315" customWidth="1"/>
    <col min="10" max="11" width="20.88671875" style="315" customWidth="1"/>
    <col min="12" max="12" width="20.5546875" style="315" customWidth="1"/>
    <col min="13" max="15" width="20.5546875" style="316" customWidth="1"/>
    <col min="16" max="16384" width="11.44140625" style="316"/>
  </cols>
  <sheetData>
    <row r="1" spans="1:16" ht="3.75" customHeight="1" x14ac:dyDescent="0.25"/>
    <row r="2" spans="1:16" ht="3.75" customHeight="1" x14ac:dyDescent="0.25"/>
    <row r="3" spans="1:16" ht="3.75" customHeight="1" x14ac:dyDescent="0.25"/>
    <row r="4" spans="1:16" ht="24" customHeight="1" x14ac:dyDescent="0.25">
      <c r="L4" s="301">
        <f>+L7-L8</f>
        <v>12</v>
      </c>
      <c r="M4" s="249"/>
      <c r="N4" s="301">
        <f>+N7-1</f>
        <v>18</v>
      </c>
      <c r="O4" s="249"/>
    </row>
    <row r="5" spans="1:16" ht="24" customHeight="1" x14ac:dyDescent="0.25">
      <c r="L5" s="261" t="s">
        <v>1851</v>
      </c>
      <c r="M5" s="261" t="s">
        <v>1063</v>
      </c>
      <c r="N5" s="261" t="s">
        <v>1852</v>
      </c>
      <c r="O5" s="261" t="s">
        <v>1064</v>
      </c>
      <c r="P5" s="318"/>
    </row>
    <row r="6" spans="1:16" ht="24" customHeight="1" x14ac:dyDescent="0.25">
      <c r="L6" s="260">
        <f>SUBTOTAL(109,$L10:$L498)-N6</f>
        <v>1</v>
      </c>
      <c r="M6" s="260">
        <f>+'CÁLCULO CONDUCTORES DE MT'!$B$14</f>
        <v>1</v>
      </c>
      <c r="N6" s="260">
        <f>+SUBTOTAL(109,$L$12:$L498)</f>
        <v>6</v>
      </c>
      <c r="O6" s="260">
        <f>+'H2-CONDUCTORES DE BT'!$B$14</f>
        <v>9</v>
      </c>
    </row>
    <row r="7" spans="1:16" ht="24" customHeight="1" x14ac:dyDescent="0.25">
      <c r="L7" s="301">
        <f>11+L6</f>
        <v>12</v>
      </c>
      <c r="M7" s="301">
        <f>+L7-1</f>
        <v>11</v>
      </c>
      <c r="N7" s="301">
        <f>L6+11+N6+1</f>
        <v>19</v>
      </c>
      <c r="O7" s="301">
        <f>+N7-1</f>
        <v>18</v>
      </c>
    </row>
    <row r="8" spans="1:16" ht="24" customHeight="1" x14ac:dyDescent="0.25">
      <c r="L8" s="300">
        <f>IF(M8="BAJAR",L6-M6,IF(M8="SUBIR",M6-L6,M6-L6))</f>
        <v>0</v>
      </c>
      <c r="M8" s="259" t="str">
        <f>IF(L6=M6,"NEUTRO",IF(L6&lt;M6,"SUBIR","BAJAR"))</f>
        <v>NEUTRO</v>
      </c>
      <c r="N8" s="300">
        <f>IF(O8="BAJAR",N6-O6,IF(O8="SUBIR",O6-N6,O6-N6))</f>
        <v>3</v>
      </c>
      <c r="O8" s="259" t="str">
        <f>IF(N6=O6,"NEUTRO",IF(N6&lt;O6,"SUBIR","BAJAR"))</f>
        <v>SUBIR</v>
      </c>
    </row>
    <row r="9" spans="1:16" ht="36" customHeight="1" x14ac:dyDescent="0.25">
      <c r="B9" s="2141" t="s">
        <v>1853</v>
      </c>
      <c r="C9" s="2141"/>
      <c r="D9" s="2141"/>
      <c r="E9" s="2141"/>
      <c r="F9" s="2141"/>
      <c r="G9" s="2141"/>
      <c r="H9" s="2141"/>
      <c r="I9" s="2141"/>
      <c r="J9" s="2141"/>
      <c r="K9" s="2141"/>
    </row>
    <row r="10" spans="1:16" s="318" customFormat="1" ht="49.5" customHeight="1" x14ac:dyDescent="0.25">
      <c r="B10" s="317" t="s">
        <v>1854</v>
      </c>
      <c r="C10" s="317" t="s">
        <v>1855</v>
      </c>
      <c r="D10" s="317" t="s">
        <v>522</v>
      </c>
      <c r="E10" s="317" t="s">
        <v>1856</v>
      </c>
      <c r="F10" s="317" t="s">
        <v>566</v>
      </c>
      <c r="G10" s="317" t="s">
        <v>1125</v>
      </c>
      <c r="H10" s="317" t="s">
        <v>1857</v>
      </c>
      <c r="I10" s="317" t="s">
        <v>1104</v>
      </c>
      <c r="J10" s="317" t="s">
        <v>1134</v>
      </c>
      <c r="K10" s="317" t="s">
        <v>1501</v>
      </c>
      <c r="L10" s="315">
        <v>0</v>
      </c>
    </row>
    <row r="11" spans="1:16" ht="36" customHeight="1" x14ac:dyDescent="0.25">
      <c r="A11" s="285">
        <f>+IF(OR(L11=0),0,COUNTIF($L$10:$L11,L11))</f>
        <v>1</v>
      </c>
      <c r="B11" s="319">
        <v>1</v>
      </c>
      <c r="C11" s="320" t="str">
        <f>+VLOOKUP(A11,'CÁLCULO CONDUCTORES DE MT'!$B$17:$BS$264,4,FALSE)</f>
        <v>TRANSFORMADOR DE DISTRIBUCIÓN</v>
      </c>
      <c r="D11" s="319" t="str">
        <f>+VLOOKUP(A11,'CÁLCULO CONDUCTORES DE MT'!$B$17:$BS$264,21,FALSE)</f>
        <v>P-05-03-SDT-8</v>
      </c>
      <c r="E11" s="319">
        <f>+VLOOKUP(A11,'CÁLCULO CONDUCTORES DE MT'!$B$17:$BS$264,6,FALSE)</f>
        <v>4</v>
      </c>
      <c r="F11" s="320" t="str">
        <f>CONCATENATE(VLOOKUP(A11,'CÁLCULO CONDUCTORES DE MT'!$B$17:$BS$264,20,FALSE)," ",VLOOKUP(A11,'CÁLCULO CONDUCTORES DE MT'!$B$17:$BS$264,19,FALSE))</f>
        <v>1x[3x(1x1/0 AWG)] ALUMINIO, ACSR, 35 kV, Desnudo</v>
      </c>
      <c r="G11" s="319" t="str">
        <f>+VLOOKUP(C11,'H4-CANALIZACIONES'!$F$14:$BE$506,25,FALSE)</f>
        <v>--</v>
      </c>
      <c r="H11" s="319" t="str">
        <f>+VLOOKUP(C11,'H4-CANALIZACIONES'!$F$14:$BE$506,21,FALSE)</f>
        <v>--</v>
      </c>
      <c r="I11" s="319" t="str">
        <f>+VLOOKUP(C11,'H4-CANALIZACIONES'!$F$14:$BE$506,23,FALSE)</f>
        <v>--</v>
      </c>
      <c r="J11" s="321" t="str">
        <f>+VLOOKUP(C11,'H4-CANALIZACIONES'!$F$14:$BE$506,35,FALSE)</f>
        <v>--</v>
      </c>
      <c r="K11" s="321" t="str">
        <f>+VLOOKUP(C11,'H4-CANALIZACIONES'!$F$14:$BE$506,30,FALSE)</f>
        <v>--</v>
      </c>
      <c r="L11" s="315">
        <f>(LEN(B11)-LEN(SUBSTITUTE(B11,IF(ISNUMBER(FIND(".",B11)),".",","),"")))+1</f>
        <v>1</v>
      </c>
    </row>
    <row r="12" spans="1:16" ht="36.75" customHeight="1" x14ac:dyDescent="0.25">
      <c r="B12" s="2141" t="s">
        <v>1858</v>
      </c>
      <c r="C12" s="2141"/>
      <c r="D12" s="2141"/>
      <c r="E12" s="2141"/>
      <c r="F12" s="2141"/>
      <c r="G12" s="2141"/>
      <c r="H12" s="2141"/>
      <c r="I12" s="2141"/>
      <c r="J12" s="2141"/>
      <c r="K12" s="2141"/>
      <c r="L12" s="315">
        <v>0</v>
      </c>
    </row>
    <row r="13" spans="1:16" ht="36" customHeight="1" x14ac:dyDescent="0.25">
      <c r="A13" s="285">
        <f>+IF(OR(L13=0),0,COUNTIF($L$12:$L13,L13))</f>
        <v>1</v>
      </c>
      <c r="B13" s="319">
        <f>+M6+1</f>
        <v>2</v>
      </c>
      <c r="C13" s="320" t="e">
        <f>+VLOOKUP(A13,'H2-CONDUCTORES DE BT'!$B$19:$BU$464,4,FALSE)</f>
        <v>#N/A</v>
      </c>
      <c r="D13" s="319" t="e">
        <f>+VLOOKUP(A13,'H2-CONDUCTORES DE BT'!$B$19:$BU$464,23,FALSE)</f>
        <v>#N/A</v>
      </c>
      <c r="E13" s="319" t="e">
        <f>+VLOOKUP(A13,'H2-CONDUCTORES DE BT'!$B$19:$BU$464,6,FALSE)</f>
        <v>#N/A</v>
      </c>
      <c r="F13" s="320" t="e">
        <f>CONCATENATE(VLOOKUP(A13,'H2-CONDUCTORES DE BT'!$B$19:$BU$464,22,FALSE)," ",VLOOKUP(A13,'H2-CONDUCTORES DE BT'!$B$19:$BU$464,21,FALSE))</f>
        <v>#N/A</v>
      </c>
      <c r="G13" s="319" t="e">
        <f>+VLOOKUP(C13,'H4-CANALIZACIONES'!$F$14:$BE$506,25,FALSE)</f>
        <v>#N/A</v>
      </c>
      <c r="H13" s="319" t="e">
        <f>+VLOOKUP(C13,'H4-CANALIZACIONES'!$F$14:$BE$506,21,FALSE)</f>
        <v>#N/A</v>
      </c>
      <c r="I13" s="319" t="e">
        <f>+VLOOKUP(C13,'H4-CANALIZACIONES'!$F$14:$BE$506,23,FALSE)</f>
        <v>#N/A</v>
      </c>
      <c r="J13" s="321" t="e">
        <f>+VLOOKUP(C13,'H4-CANALIZACIONES'!$F$14:$BE$506,35,FALSE)</f>
        <v>#N/A</v>
      </c>
      <c r="K13" s="321" t="e">
        <f>+VLOOKUP(C13,'H4-CANALIZACIONES'!$F$14:$BE$506,30,FALSE)</f>
        <v>#N/A</v>
      </c>
      <c r="L13" s="315">
        <f t="shared" ref="L13:L18" si="0">(LEN(B13)-LEN(SUBSTITUTE(B13,IF(ISNUMBER(FIND(".",B13)),".",","),"")))+1</f>
        <v>1</v>
      </c>
    </row>
    <row r="14" spans="1:16" ht="36" customHeight="1" x14ac:dyDescent="0.25">
      <c r="A14" s="285">
        <f>+IF(OR(L14=0),0,COUNTIF($L$12:$L14,L14))</f>
        <v>2</v>
      </c>
      <c r="B14" s="319">
        <f>+B13+1</f>
        <v>3</v>
      </c>
      <c r="C14" s="320" t="str">
        <f>+VLOOKUP(A14,'H2-CONDUCTORES DE BT'!$B$19:$BU$464,4,FALSE)</f>
        <v>ESTRUCTURA BAJA TENSIÓN (EXISTENTE)</v>
      </c>
      <c r="D14" s="319" t="str">
        <f>+VLOOKUP(A14,'H2-CONDUCTORES DE BT'!$B$19:$BU$464,23,FALSE)</f>
        <v>1/2-P-06-08-LPB E0701-BT</v>
      </c>
      <c r="E14" s="319">
        <f>+VLOOKUP(A14,'H2-CONDUCTORES DE BT'!$B$19:$BU$464,6,FALSE)</f>
        <v>15</v>
      </c>
      <c r="F14" s="320" t="str">
        <f>CONCATENATE(VLOOKUP(A14,'H2-CONDUCTORES DE BT'!$B$19:$BU$464,22,FALSE)," ",VLOOKUP(A14,'H2-CONDUCTORES DE BT'!$B$19:$BU$464,21,FALSE))</f>
        <v>2x[3x(1x2/0 AWG)] + 1x(2Gx4 AWG) ALUMINIO, XHHW-2, 600 V, 90°C, Monopolar</v>
      </c>
      <c r="G14" s="319" t="str">
        <f>+VLOOKUP(C14,'H4-CANALIZACIONES'!$F$14:$BE$506,25,FALSE)</f>
        <v>CP-30-LPB E0701-BT</v>
      </c>
      <c r="H14" s="319" t="str">
        <f>+VLOOKUP(C14,'H4-CANALIZACIONES'!$F$14:$BE$506,21,FALSE)</f>
        <v>3"</v>
      </c>
      <c r="I14" s="319" t="str">
        <f>+VLOOKUP(C14,'H4-CANALIZACIONES'!$F$14:$BE$506,23,FALSE)</f>
        <v>PVC</v>
      </c>
      <c r="J14" s="321" t="str">
        <f>+VLOOKUP(C14,'H4-CANALIZACIONES'!$F$14:$BE$506,35,FALSE)</f>
        <v>--</v>
      </c>
      <c r="K14" s="321" t="str">
        <f>+VLOOKUP(C14,'H4-CANALIZACIONES'!$F$14:$BE$506,30,FALSE)</f>
        <v>--</v>
      </c>
      <c r="L14" s="315">
        <f t="shared" si="0"/>
        <v>1</v>
      </c>
    </row>
    <row r="15" spans="1:16" ht="36" customHeight="1" x14ac:dyDescent="0.25">
      <c r="A15" s="285">
        <f>+IF(OR(L15=0),0,COUNTIF($L$12:$L15,L15))</f>
        <v>3</v>
      </c>
      <c r="B15" s="319">
        <f>+B14+1</f>
        <v>4</v>
      </c>
      <c r="C15" s="320" t="str">
        <f>+VLOOKUP(A15,'H2-CONDUCTORES DE BT'!$B$19:$BU$464,4,FALSE)</f>
        <v>POSTE BAJA TENSIÓN (EXISTENTE)</v>
      </c>
      <c r="D15" s="319" t="str">
        <f>+VLOOKUP(A15,'H2-CONDUCTORES DE BT'!$B$19:$BU$464,23,FALSE)</f>
        <v>1/2-P-06-08-PE04</v>
      </c>
      <c r="E15" s="319">
        <f>+VLOOKUP(A15,'H2-CONDUCTORES DE BT'!$B$19:$BU$464,6,FALSE)</f>
        <v>228</v>
      </c>
      <c r="F15" s="320" t="str">
        <f>CONCATENATE(VLOOKUP(A15,'H2-CONDUCTORES DE BT'!$B$19:$BU$464,22,FALSE)," ",VLOOKUP(A15,'H2-CONDUCTORES DE BT'!$B$19:$BU$464,21,FALSE))</f>
        <v>2x[3x(1x4/0 AWG)] + 2x(1Nx4/0 AWG) ALUMINIO, ACSR, 600 V, 90°C, Cable Autosoportado Con Neutro En ACSR</v>
      </c>
      <c r="G15" s="319" t="str">
        <f>+VLOOKUP(C15,'H4-CANALIZACIONES'!$F$14:$BE$506,25,FALSE)</f>
        <v>--</v>
      </c>
      <c r="H15" s="319" t="str">
        <f>+VLOOKUP(C15,'H4-CANALIZACIONES'!$F$14:$BE$506,21,FALSE)</f>
        <v>--</v>
      </c>
      <c r="I15" s="319" t="str">
        <f>+VLOOKUP(C15,'H4-CANALIZACIONES'!$F$14:$BE$506,23,FALSE)</f>
        <v>--</v>
      </c>
      <c r="J15" s="321" t="str">
        <f>+VLOOKUP(C15,'H4-CANALIZACIONES'!$F$14:$BE$506,35,FALSE)</f>
        <v>--</v>
      </c>
      <c r="K15" s="321" t="str">
        <f>+VLOOKUP(C15,'H4-CANALIZACIONES'!$F$14:$BE$506,30,FALSE)</f>
        <v>--</v>
      </c>
      <c r="L15" s="315">
        <f t="shared" si="0"/>
        <v>1</v>
      </c>
    </row>
    <row r="16" spans="1:16" ht="36" customHeight="1" x14ac:dyDescent="0.25">
      <c r="A16" s="285">
        <f>+IF(OR(L16=0),0,COUNTIF($L$12:$L16,L16))</f>
        <v>4</v>
      </c>
      <c r="B16" s="319">
        <f>+B15+1</f>
        <v>5</v>
      </c>
      <c r="C16" s="320" t="str">
        <f>+VLOOKUP(A16,'H2-CONDUCTORES DE BT'!$B$19:$BU$464,4,FALSE)</f>
        <v>TABLERO BAJA TENSIÓN (EXISTENTE)</v>
      </c>
      <c r="D16" s="319" t="str">
        <f>+VLOOKUP(A16,'H2-CONDUCTORES DE BT'!$B$19:$BU$464,23,FALSE)</f>
        <v>1/2-P-06-08-TBT-DT-97</v>
      </c>
      <c r="E16" s="319">
        <f>+VLOOKUP(A16,'H2-CONDUCTORES DE BT'!$B$19:$BU$464,6,FALSE)</f>
        <v>15</v>
      </c>
      <c r="F16" s="320" t="str">
        <f>CONCATENATE(VLOOKUP(A16,'H2-CONDUCTORES DE BT'!$B$19:$BU$464,22,FALSE)," ",VLOOKUP(A16,'H2-CONDUCTORES DE BT'!$B$19:$BU$464,21,FALSE))</f>
        <v>2x[3x(1x2/0 AWG)] + 1x(2Gx4 AWG) ALUMINIO, XHHW-2, 600 V, 90°C, Monopolar</v>
      </c>
      <c r="G16" s="319" t="str">
        <f>+VLOOKUP(C16,'H4-CANALIZACIONES'!$F$14:$BE$506,25,FALSE)</f>
        <v>2-CP-20-TBT08</v>
      </c>
      <c r="H16" s="319" t="str">
        <f>+VLOOKUP(C16,'H4-CANALIZACIONES'!$F$14:$BE$506,21,FALSE)</f>
        <v>2"</v>
      </c>
      <c r="I16" s="319" t="str">
        <f>+VLOOKUP(C16,'H4-CANALIZACIONES'!$F$14:$BE$506,23,FALSE)</f>
        <v>PVC</v>
      </c>
      <c r="J16" s="321" t="str">
        <f>+VLOOKUP(C16,'H4-CANALIZACIONES'!$F$14:$BE$506,35,FALSE)</f>
        <v>--</v>
      </c>
      <c r="K16" s="321" t="str">
        <f>+VLOOKUP(C16,'H4-CANALIZACIONES'!$F$14:$BE$506,30,FALSE)</f>
        <v>--</v>
      </c>
      <c r="L16" s="315">
        <f t="shared" si="0"/>
        <v>1</v>
      </c>
    </row>
    <row r="17" spans="1:12" ht="36" customHeight="1" x14ac:dyDescent="0.25">
      <c r="A17" s="285">
        <f>+IF(OR(L17=0),0,COUNTIF($L$12:$L17,L17))</f>
        <v>5</v>
      </c>
      <c r="B17" s="319">
        <f>+B16+1</f>
        <v>6</v>
      </c>
      <c r="C17" s="320" t="str">
        <f>+VLOOKUP(A17,'H2-CONDUCTORES DE BT'!$B$19:$BU$464,4,FALSE)</f>
        <v>VARIADOR DE FRECUENCIA (PROYECTADO)</v>
      </c>
      <c r="D17" s="319" t="str">
        <f>+VLOOKUP(A17,'H2-CONDUCTORES DE BT'!$B$19:$BU$464,23,FALSE)</f>
        <v>P-06-08-VFD-DT-58</v>
      </c>
      <c r="E17" s="319">
        <f>+VLOOKUP(A17,'H2-CONDUCTORES DE BT'!$B$19:$BU$464,6,FALSE)</f>
        <v>5</v>
      </c>
      <c r="F17" s="320" t="str">
        <f>CONCATENATE(VLOOKUP(A17,'H2-CONDUCTORES DE BT'!$B$19:$BU$464,22,FALSE)," ",VLOOKUP(A17,'H2-CONDUCTORES DE BT'!$B$19:$BU$464,21,FALSE))</f>
        <v>1x[3x(1x1/0 AWG)] + 1x(1Gx4 AWG) ALUMINIO, XHHW-2, 600 V, 90°C, Monopolar</v>
      </c>
      <c r="G17" s="319" t="str">
        <f>+VLOOKUP(C17,'H4-CANALIZACIONES'!$F$14:$BE$506,25,FALSE)</f>
        <v>CP-20-VFD-DT-58</v>
      </c>
      <c r="H17" s="319" t="str">
        <f>+VLOOKUP(C17,'H4-CANALIZACIONES'!$F$14:$BE$506,21,FALSE)</f>
        <v>2"</v>
      </c>
      <c r="I17" s="319" t="str">
        <f>+VLOOKUP(C17,'H4-CANALIZACIONES'!$F$14:$BE$506,23,FALSE)</f>
        <v>PVC</v>
      </c>
      <c r="J17" s="321" t="str">
        <f>+VLOOKUP(C17,'H4-CANALIZACIONES'!$F$14:$BE$506,35,FALSE)</f>
        <v>--</v>
      </c>
      <c r="K17" s="321" t="str">
        <f>+VLOOKUP(C17,'H4-CANALIZACIONES'!$F$14:$BE$506,30,FALSE)</f>
        <v>--</v>
      </c>
      <c r="L17" s="315">
        <f t="shared" si="0"/>
        <v>1</v>
      </c>
    </row>
    <row r="18" spans="1:12" ht="36" customHeight="1" x14ac:dyDescent="0.25">
      <c r="A18" s="285">
        <f>+IF(OR(L18=0),0,COUNTIF($L$12:$L18,L18))</f>
        <v>6</v>
      </c>
      <c r="B18" s="319">
        <f>+B17+1</f>
        <v>7</v>
      </c>
      <c r="C18" s="320" t="str">
        <f>+VLOOKUP(A18,'H2-CONDUCTORES DE BT'!$B$19:$BU$464,4,FALSE)</f>
        <v>MOTOR PCP (PROYECTADO)</v>
      </c>
      <c r="D18" s="319" t="str">
        <f>+VLOOKUP(A18,'H2-CONDUCTORES DE BT'!$B$19:$BU$464,23,FALSE)</f>
        <v>P-06-08-PCP-DT-58</v>
      </c>
      <c r="E18" s="319">
        <f>+VLOOKUP(A18,'H2-CONDUCTORES DE BT'!$B$19:$BU$464,6,FALSE)</f>
        <v>54</v>
      </c>
      <c r="F18" s="320" t="str">
        <f>CONCATENATE(VLOOKUP(A18,'H2-CONDUCTORES DE BT'!$B$19:$BU$464,22,FALSE)," ",VLOOKUP(A18,'H2-CONDUCTORES DE BT'!$B$19:$BU$464,21,FALSE))</f>
        <v>1x[3x(1x1/0 AWG)] + 1x(1Gx4 AWG) ALUMINIO, XHHW-2, 600 V, 90°C, Monopolar</v>
      </c>
      <c r="G18" s="319" t="str">
        <f>+VLOOKUP(C18,'H4-CANALIZACIONES'!$F$14:$BE$506,25,FALSE)</f>
        <v>CP-20-PCP-DT-58</v>
      </c>
      <c r="H18" s="319" t="str">
        <f>+VLOOKUP(C18,'H4-CANALIZACIONES'!$F$14:$BE$506,21,FALSE)</f>
        <v>2"</v>
      </c>
      <c r="I18" s="319" t="str">
        <f>+VLOOKUP(C18,'H4-CANALIZACIONES'!$F$14:$BE$506,23,FALSE)</f>
        <v>PVC</v>
      </c>
      <c r="J18" s="321" t="str">
        <f>+VLOOKUP(C18,'H4-CANALIZACIONES'!$F$14:$BE$506,35,FALSE)</f>
        <v>--</v>
      </c>
      <c r="K18" s="321" t="str">
        <f>+VLOOKUP(C18,'H4-CANALIZACIONES'!$F$14:$BE$506,30,FALSE)</f>
        <v>--</v>
      </c>
      <c r="L18" s="315">
        <f t="shared" si="0"/>
        <v>1</v>
      </c>
    </row>
  </sheetData>
  <mergeCells count="2">
    <mergeCell ref="B9:K9"/>
    <mergeCell ref="B12:K12"/>
  </mergeCells>
  <pageMargins left="0.7" right="0.7" top="0.75" bottom="0.75" header="0.3" footer="0.3"/>
  <pageSetup scale="27" orientation="portrait" horizontalDpi="4294967295" verticalDpi="4294967295"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4"/>
  <dimension ref="A1:AJ67"/>
  <sheetViews>
    <sheetView zoomScaleNormal="100" workbookViewId="0">
      <selection activeCell="M28" sqref="M28"/>
    </sheetView>
  </sheetViews>
  <sheetFormatPr baseColWidth="10" defaultColWidth="11.44140625" defaultRowHeight="13.2" x14ac:dyDescent="0.25"/>
  <cols>
    <col min="1" max="1" width="9.44140625" style="9" customWidth="1"/>
    <col min="2" max="2" width="12.109375" style="9" customWidth="1"/>
    <col min="3" max="3" width="9.44140625" style="9" customWidth="1"/>
    <col min="4" max="18" width="7.5546875" style="14" customWidth="1"/>
    <col min="19" max="16384" width="11.44140625" style="9"/>
  </cols>
  <sheetData>
    <row r="1" spans="1:36" ht="12.75" customHeight="1" x14ac:dyDescent="0.25">
      <c r="A1" s="2159" t="s">
        <v>1859</v>
      </c>
      <c r="B1" s="2160"/>
      <c r="C1" s="2157" t="s">
        <v>1860</v>
      </c>
      <c r="D1" s="2155" t="s">
        <v>1861</v>
      </c>
      <c r="E1" s="2155"/>
      <c r="F1" s="2155"/>
      <c r="G1" s="2155"/>
      <c r="H1" s="2155"/>
      <c r="I1" s="2155"/>
      <c r="J1" s="2155"/>
      <c r="K1" s="2155"/>
      <c r="L1" s="2155"/>
      <c r="M1" s="2155"/>
      <c r="N1" s="2155"/>
      <c r="O1" s="2155"/>
      <c r="P1" s="2155"/>
      <c r="Q1" s="2155"/>
      <c r="R1" s="2156"/>
    </row>
    <row r="2" spans="1:36" ht="16.5" customHeight="1" thickBot="1" x14ac:dyDescent="0.3">
      <c r="A2" s="31" t="s">
        <v>1862</v>
      </c>
      <c r="B2" s="28" t="s">
        <v>1863</v>
      </c>
      <c r="C2" s="2158"/>
      <c r="D2" s="29">
        <v>1</v>
      </c>
      <c r="E2" s="29">
        <v>2</v>
      </c>
      <c r="F2" s="29">
        <v>3</v>
      </c>
      <c r="G2" s="29">
        <v>4</v>
      </c>
      <c r="H2" s="29">
        <v>5</v>
      </c>
      <c r="I2" s="30">
        <v>6</v>
      </c>
      <c r="J2" s="29">
        <v>7</v>
      </c>
      <c r="K2" s="29">
        <v>8</v>
      </c>
      <c r="L2" s="29">
        <v>9</v>
      </c>
      <c r="M2" s="29">
        <v>10</v>
      </c>
      <c r="N2" s="29">
        <v>11</v>
      </c>
      <c r="O2" s="29">
        <v>12</v>
      </c>
      <c r="P2" s="29">
        <v>13</v>
      </c>
      <c r="Q2" s="29">
        <v>14</v>
      </c>
      <c r="R2" s="32">
        <v>15</v>
      </c>
    </row>
    <row r="3" spans="1:36" ht="16.5" customHeight="1" thickBot="1" x14ac:dyDescent="0.3">
      <c r="A3" s="64">
        <v>0</v>
      </c>
      <c r="B3" s="65">
        <v>0</v>
      </c>
      <c r="C3" s="65">
        <v>0</v>
      </c>
      <c r="D3" s="65">
        <v>0</v>
      </c>
      <c r="E3" s="65">
        <v>0</v>
      </c>
      <c r="F3" s="65">
        <v>0</v>
      </c>
      <c r="G3" s="65">
        <v>0</v>
      </c>
      <c r="H3" s="65">
        <v>0</v>
      </c>
      <c r="I3" s="65">
        <v>0</v>
      </c>
      <c r="J3" s="65">
        <v>0</v>
      </c>
      <c r="K3" s="65">
        <v>0</v>
      </c>
      <c r="L3" s="65">
        <v>0</v>
      </c>
      <c r="M3" s="65">
        <v>0</v>
      </c>
      <c r="N3" s="65">
        <v>0</v>
      </c>
      <c r="O3" s="65">
        <v>0</v>
      </c>
      <c r="P3" s="65">
        <v>0</v>
      </c>
      <c r="Q3" s="65">
        <v>0</v>
      </c>
      <c r="R3" s="66">
        <v>0</v>
      </c>
    </row>
    <row r="4" spans="1:36" ht="16.5" customHeight="1" x14ac:dyDescent="0.25">
      <c r="A4" s="2144">
        <v>1</v>
      </c>
      <c r="B4" s="2147">
        <v>12</v>
      </c>
      <c r="C4" s="15">
        <v>1</v>
      </c>
      <c r="D4" s="59">
        <v>1</v>
      </c>
      <c r="E4" s="67">
        <f t="shared" ref="E4:R4" si="0">W4</f>
        <v>0.95783333333333309</v>
      </c>
      <c r="F4" s="67">
        <f t="shared" si="0"/>
        <v>0.89766666666666661</v>
      </c>
      <c r="G4" s="67">
        <f t="shared" si="0"/>
        <v>0.85299999999999998</v>
      </c>
      <c r="H4" s="67">
        <f t="shared" si="0"/>
        <v>0.80966666666666676</v>
      </c>
      <c r="I4" s="67">
        <f t="shared" si="0"/>
        <v>0.78633333333333333</v>
      </c>
      <c r="J4" s="67">
        <f t="shared" si="0"/>
        <v>0.76450000000000007</v>
      </c>
      <c r="K4" s="67">
        <f t="shared" si="0"/>
        <v>0.74733333333333329</v>
      </c>
      <c r="L4" s="67">
        <f t="shared" si="0"/>
        <v>0.72949999999999993</v>
      </c>
      <c r="M4" s="67">
        <f t="shared" si="0"/>
        <v>0.71866666666666656</v>
      </c>
      <c r="N4" s="67">
        <f t="shared" si="0"/>
        <v>0.70866666666666656</v>
      </c>
      <c r="O4" s="67">
        <f t="shared" si="0"/>
        <v>0.69966666666666677</v>
      </c>
      <c r="P4" s="67">
        <f t="shared" si="0"/>
        <v>0.69166666666666676</v>
      </c>
      <c r="Q4" s="67">
        <f t="shared" si="0"/>
        <v>0.68233333333333346</v>
      </c>
      <c r="R4" s="68">
        <f t="shared" si="0"/>
        <v>0.67633333333333334</v>
      </c>
      <c r="S4" s="2142" t="s">
        <v>1864</v>
      </c>
      <c r="T4" s="2143"/>
      <c r="U4" s="69">
        <v>1</v>
      </c>
      <c r="V4" s="70">
        <f>$U4*LINEST(V$6:V$8,$U$6:$U$8,,)+INDEX(LINEST(V$6:V$8,$U$6:$U$8,,),2)</f>
        <v>1</v>
      </c>
      <c r="W4" s="70">
        <f>$U4*LINEST(W$6:W$8,$U$6:$U$8,,)+INDEX(LINEST(W$6:W$8,$U$6:$U$8,,),2)</f>
        <v>0.95783333333333309</v>
      </c>
      <c r="X4" s="70">
        <f t="shared" ref="X4:AJ5" si="1">$U4*LINEST(X$6:X$8,$U$6:$U$8,,)+INDEX(LINEST(X$6:X$8,$U$6:$U$8,,),2)</f>
        <v>0.89766666666666661</v>
      </c>
      <c r="Y4" s="70">
        <f t="shared" si="1"/>
        <v>0.85299999999999998</v>
      </c>
      <c r="Z4" s="70">
        <f t="shared" si="1"/>
        <v>0.80966666666666676</v>
      </c>
      <c r="AA4" s="70">
        <f t="shared" si="1"/>
        <v>0.78633333333333333</v>
      </c>
      <c r="AB4" s="70">
        <f t="shared" si="1"/>
        <v>0.76450000000000007</v>
      </c>
      <c r="AC4" s="70">
        <f t="shared" si="1"/>
        <v>0.74733333333333329</v>
      </c>
      <c r="AD4" s="70">
        <f t="shared" si="1"/>
        <v>0.72949999999999993</v>
      </c>
      <c r="AE4" s="70">
        <f t="shared" si="1"/>
        <v>0.71866666666666656</v>
      </c>
      <c r="AF4" s="70">
        <f t="shared" si="1"/>
        <v>0.70866666666666656</v>
      </c>
      <c r="AG4" s="70">
        <f t="shared" si="1"/>
        <v>0.69966666666666677</v>
      </c>
      <c r="AH4" s="70">
        <f t="shared" si="1"/>
        <v>0.69166666666666676</v>
      </c>
      <c r="AI4" s="70">
        <f t="shared" si="1"/>
        <v>0.68233333333333346</v>
      </c>
      <c r="AJ4" s="70">
        <f t="shared" si="1"/>
        <v>0.67633333333333334</v>
      </c>
    </row>
    <row r="5" spans="1:36" ht="16.5" customHeight="1" x14ac:dyDescent="0.25">
      <c r="A5" s="2144">
        <v>1</v>
      </c>
      <c r="B5" s="2148">
        <v>12</v>
      </c>
      <c r="C5" s="10">
        <v>2</v>
      </c>
      <c r="D5" s="60">
        <f>V10</f>
        <v>0.93833333333333335</v>
      </c>
      <c r="E5" s="60">
        <f t="shared" ref="E5:R5" si="2">W10</f>
        <v>0.86716666666666664</v>
      </c>
      <c r="F5" s="60">
        <f t="shared" si="2"/>
        <v>0.79866666666666675</v>
      </c>
      <c r="G5" s="60">
        <f t="shared" si="2"/>
        <v>0.75033333333333341</v>
      </c>
      <c r="H5" s="60">
        <f t="shared" si="2"/>
        <v>0.71233333333333337</v>
      </c>
      <c r="I5" s="60">
        <f t="shared" si="2"/>
        <v>0.68533333333333346</v>
      </c>
      <c r="J5" s="60">
        <f t="shared" si="2"/>
        <v>0.66300000000000003</v>
      </c>
      <c r="K5" s="60">
        <f t="shared" si="2"/>
        <v>0.64416666666666667</v>
      </c>
      <c r="L5" s="60">
        <f t="shared" si="2"/>
        <v>0.62616666666666665</v>
      </c>
      <c r="M5" s="60">
        <f t="shared" si="2"/>
        <v>0.61450000000000005</v>
      </c>
      <c r="N5" s="60">
        <f t="shared" si="2"/>
        <v>0.60649999999999982</v>
      </c>
      <c r="O5" s="60">
        <f t="shared" si="2"/>
        <v>0.59449999999999992</v>
      </c>
      <c r="P5" s="60">
        <f t="shared" si="2"/>
        <v>0.58649999999999991</v>
      </c>
      <c r="Q5" s="60">
        <f t="shared" si="2"/>
        <v>0.58183333333333342</v>
      </c>
      <c r="R5" s="61">
        <f t="shared" si="2"/>
        <v>0.57250000000000001</v>
      </c>
      <c r="S5" s="2142"/>
      <c r="T5" s="2143"/>
      <c r="U5" s="69">
        <v>2</v>
      </c>
      <c r="V5" s="70">
        <f>$U5*LINEST(V$6:V$8,$U$6:$U$8,,)+INDEX(LINEST(V$6:V$8,$U$6:$U$8,,),2)</f>
        <v>1</v>
      </c>
      <c r="W5" s="70">
        <f>$U5*LINEST(W$6:W$8,$U$6:$U$8,,)+INDEX(LINEST(W$6:W$8,$U$6:$U$8,,),2)</f>
        <v>0.94933333333333314</v>
      </c>
      <c r="X5" s="70">
        <f t="shared" si="1"/>
        <v>0.89066666666666661</v>
      </c>
      <c r="Y5" s="70">
        <f t="shared" si="1"/>
        <v>0.84399999999999997</v>
      </c>
      <c r="Z5" s="70">
        <f t="shared" si="1"/>
        <v>0.80266666666666675</v>
      </c>
      <c r="AA5" s="70">
        <f t="shared" si="1"/>
        <v>0.77733333333333332</v>
      </c>
      <c r="AB5" s="70">
        <f t="shared" si="1"/>
        <v>0.75500000000000012</v>
      </c>
      <c r="AC5" s="70">
        <f t="shared" si="1"/>
        <v>0.73733333333333329</v>
      </c>
      <c r="AD5" s="70">
        <f t="shared" si="1"/>
        <v>0.72</v>
      </c>
      <c r="AE5" s="70">
        <f t="shared" si="1"/>
        <v>0.70866666666666656</v>
      </c>
      <c r="AF5" s="70">
        <f t="shared" si="1"/>
        <v>0.69866666666666655</v>
      </c>
      <c r="AG5" s="70">
        <f t="shared" si="1"/>
        <v>0.68966666666666676</v>
      </c>
      <c r="AH5" s="70">
        <f t="shared" si="1"/>
        <v>0.68166666666666675</v>
      </c>
      <c r="AI5" s="70">
        <f t="shared" si="1"/>
        <v>0.67333333333333345</v>
      </c>
      <c r="AJ5" s="70">
        <f t="shared" si="1"/>
        <v>0.66733333333333333</v>
      </c>
    </row>
    <row r="6" spans="1:36" ht="16.5" customHeight="1" x14ac:dyDescent="0.25">
      <c r="A6" s="2144">
        <v>1</v>
      </c>
      <c r="B6" s="2148">
        <v>12</v>
      </c>
      <c r="C6" s="10">
        <v>3</v>
      </c>
      <c r="D6" s="60">
        <f>V16</f>
        <v>0.89</v>
      </c>
      <c r="E6" s="60">
        <f t="shared" ref="E6:R6" si="3">W16</f>
        <v>0.79866666666666675</v>
      </c>
      <c r="F6" s="60">
        <f t="shared" si="3"/>
        <v>0.71933333333333316</v>
      </c>
      <c r="G6" s="60">
        <f t="shared" si="3"/>
        <v>0.64949999999999997</v>
      </c>
      <c r="H6" s="60">
        <f t="shared" si="3"/>
        <v>0.6143333333333334</v>
      </c>
      <c r="I6" s="60">
        <f t="shared" si="3"/>
        <v>0.58699999999999997</v>
      </c>
      <c r="J6" s="60">
        <f t="shared" si="3"/>
        <v>0.56516666666666682</v>
      </c>
      <c r="K6" s="60">
        <f t="shared" si="3"/>
        <v>0.55066666666666664</v>
      </c>
      <c r="L6" s="60">
        <f t="shared" si="3"/>
        <v>0.53816666666666668</v>
      </c>
      <c r="M6" s="60">
        <f t="shared" si="3"/>
        <v>0.52683333333333338</v>
      </c>
      <c r="N6" s="60">
        <f t="shared" si="3"/>
        <v>0.51633333333333331</v>
      </c>
      <c r="O6" s="60">
        <f t="shared" si="3"/>
        <v>0.50916666666666666</v>
      </c>
      <c r="P6" s="60">
        <f t="shared" si="3"/>
        <v>0.49999999999999989</v>
      </c>
      <c r="Q6" s="60">
        <f t="shared" si="3"/>
        <v>0.49399999999999988</v>
      </c>
      <c r="R6" s="61">
        <f t="shared" si="3"/>
        <v>0.48999999999999988</v>
      </c>
      <c r="S6" s="2142"/>
      <c r="T6" s="2143"/>
      <c r="U6" s="69">
        <v>3</v>
      </c>
      <c r="V6" s="71">
        <f>D12</f>
        <v>1</v>
      </c>
      <c r="W6" s="71">
        <f>E12</f>
        <v>0.94199999999999995</v>
      </c>
      <c r="X6" s="71">
        <f t="shared" ref="X6:AJ6" si="4">F12</f>
        <v>0.88500000000000001</v>
      </c>
      <c r="Y6" s="71">
        <f t="shared" si="4"/>
        <v>0.83499999999999996</v>
      </c>
      <c r="Z6" s="71">
        <f t="shared" si="4"/>
        <v>0.79500000000000004</v>
      </c>
      <c r="AA6" s="71">
        <f t="shared" si="4"/>
        <v>0.76800000000000002</v>
      </c>
      <c r="AB6" s="71">
        <f t="shared" si="4"/>
        <v>0.745</v>
      </c>
      <c r="AC6" s="71">
        <f t="shared" si="4"/>
        <v>0.72699999999999998</v>
      </c>
      <c r="AD6" s="71">
        <f t="shared" si="4"/>
        <v>0.71</v>
      </c>
      <c r="AE6" s="71">
        <f t="shared" si="4"/>
        <v>0.69799999999999995</v>
      </c>
      <c r="AF6" s="71">
        <f t="shared" si="4"/>
        <v>0.68799999999999994</v>
      </c>
      <c r="AG6" s="71">
        <f t="shared" si="4"/>
        <v>0.67900000000000005</v>
      </c>
      <c r="AH6" s="71">
        <f t="shared" si="4"/>
        <v>0.67100000000000004</v>
      </c>
      <c r="AI6" s="71">
        <f t="shared" si="4"/>
        <v>0.66400000000000003</v>
      </c>
      <c r="AJ6" s="71">
        <f t="shared" si="4"/>
        <v>0.65800000000000003</v>
      </c>
    </row>
    <row r="7" spans="1:36" ht="16.5" customHeight="1" thickBot="1" x14ac:dyDescent="0.3">
      <c r="A7" s="2145">
        <v>1</v>
      </c>
      <c r="B7" s="2149">
        <v>12</v>
      </c>
      <c r="C7" s="17">
        <v>4</v>
      </c>
      <c r="D7" s="60">
        <f>V22</f>
        <v>0.8341666666666665</v>
      </c>
      <c r="E7" s="60">
        <f t="shared" ref="E7:R7" si="5">W22</f>
        <v>0.72999999999999987</v>
      </c>
      <c r="F7" s="60">
        <f t="shared" si="5"/>
        <v>0.64816666666666678</v>
      </c>
      <c r="G7" s="60">
        <f t="shared" si="5"/>
        <v>0.5818333333333332</v>
      </c>
      <c r="H7" s="60">
        <f t="shared" si="5"/>
        <v>0.54833333333333345</v>
      </c>
      <c r="I7" s="60">
        <f t="shared" si="5"/>
        <v>0.52100000000000002</v>
      </c>
      <c r="J7" s="60">
        <f t="shared" si="5"/>
        <v>0.50316666666666676</v>
      </c>
      <c r="K7" s="60">
        <f t="shared" si="5"/>
        <v>0.48433333333333328</v>
      </c>
      <c r="L7" s="60">
        <f t="shared" si="5"/>
        <v>0.46883333333333332</v>
      </c>
      <c r="M7" s="60">
        <f t="shared" si="5"/>
        <v>0.45683333333333331</v>
      </c>
      <c r="N7" s="60">
        <f t="shared" si="5"/>
        <v>0.44716666666666671</v>
      </c>
      <c r="O7" s="60">
        <f t="shared" si="5"/>
        <v>0.4376666666666667</v>
      </c>
      <c r="P7" s="60">
        <f t="shared" si="5"/>
        <v>0.43</v>
      </c>
      <c r="Q7" s="60">
        <f t="shared" si="5"/>
        <v>0.42349999999999999</v>
      </c>
      <c r="R7" s="61">
        <f t="shared" si="5"/>
        <v>0.41500000000000009</v>
      </c>
      <c r="S7" s="2142"/>
      <c r="T7" s="2143"/>
      <c r="U7" s="69">
        <v>4</v>
      </c>
      <c r="V7" s="71">
        <f>D16</f>
        <v>1</v>
      </c>
      <c r="W7" s="71">
        <f>E16</f>
        <v>0.93</v>
      </c>
      <c r="X7" s="71">
        <f t="shared" ref="X7:AJ7" si="6">F16</f>
        <v>0.874</v>
      </c>
      <c r="Y7" s="71">
        <f t="shared" si="6"/>
        <v>0.82599999999999996</v>
      </c>
      <c r="Z7" s="71">
        <f t="shared" si="6"/>
        <v>0.79</v>
      </c>
      <c r="AA7" s="71">
        <f t="shared" si="6"/>
        <v>0.76</v>
      </c>
      <c r="AB7" s="71">
        <f t="shared" si="6"/>
        <v>0.73699999999999999</v>
      </c>
      <c r="AC7" s="71">
        <f t="shared" si="6"/>
        <v>0.71799999999999997</v>
      </c>
      <c r="AD7" s="71">
        <f t="shared" si="6"/>
        <v>0.70199999999999996</v>
      </c>
      <c r="AE7" s="71">
        <f t="shared" si="6"/>
        <v>0.69</v>
      </c>
      <c r="AF7" s="71">
        <f t="shared" si="6"/>
        <v>0.68</v>
      </c>
      <c r="AG7" s="71">
        <f t="shared" si="6"/>
        <v>0.67100000000000004</v>
      </c>
      <c r="AH7" s="71">
        <f t="shared" si="6"/>
        <v>0.66300000000000003</v>
      </c>
      <c r="AI7" s="71">
        <f t="shared" si="6"/>
        <v>0.65600000000000003</v>
      </c>
      <c r="AJ7" s="71">
        <f t="shared" si="6"/>
        <v>0.65</v>
      </c>
    </row>
    <row r="8" spans="1:36" ht="16.5" customHeight="1" x14ac:dyDescent="0.25">
      <c r="A8" s="2146">
        <v>2</v>
      </c>
      <c r="B8" s="2150">
        <v>10</v>
      </c>
      <c r="C8" s="15">
        <v>1</v>
      </c>
      <c r="D8" s="72">
        <v>1</v>
      </c>
      <c r="E8" s="67">
        <f>W5</f>
        <v>0.94933333333333314</v>
      </c>
      <c r="F8" s="67">
        <f t="shared" ref="F8:R8" si="7">X5</f>
        <v>0.89066666666666661</v>
      </c>
      <c r="G8" s="67">
        <f t="shared" si="7"/>
        <v>0.84399999999999997</v>
      </c>
      <c r="H8" s="67">
        <f t="shared" si="7"/>
        <v>0.80266666666666675</v>
      </c>
      <c r="I8" s="67">
        <f t="shared" si="7"/>
        <v>0.77733333333333332</v>
      </c>
      <c r="J8" s="67">
        <f t="shared" si="7"/>
        <v>0.75500000000000012</v>
      </c>
      <c r="K8" s="67">
        <f t="shared" si="7"/>
        <v>0.73733333333333329</v>
      </c>
      <c r="L8" s="67">
        <f t="shared" si="7"/>
        <v>0.72</v>
      </c>
      <c r="M8" s="67">
        <f t="shared" si="7"/>
        <v>0.70866666666666656</v>
      </c>
      <c r="N8" s="67">
        <f t="shared" si="7"/>
        <v>0.69866666666666655</v>
      </c>
      <c r="O8" s="67">
        <f t="shared" si="7"/>
        <v>0.68966666666666676</v>
      </c>
      <c r="P8" s="67">
        <f t="shared" si="7"/>
        <v>0.68166666666666675</v>
      </c>
      <c r="Q8" s="67">
        <f t="shared" si="7"/>
        <v>0.67333333333333345</v>
      </c>
      <c r="R8" s="68">
        <f t="shared" si="7"/>
        <v>0.66733333333333333</v>
      </c>
      <c r="S8" s="2142"/>
      <c r="T8" s="2143"/>
      <c r="U8" s="69">
        <v>5</v>
      </c>
      <c r="V8" s="71">
        <f>D20</f>
        <v>1</v>
      </c>
      <c r="W8" s="71">
        <f>E20</f>
        <v>0.92500000000000004</v>
      </c>
      <c r="X8" s="71">
        <f t="shared" ref="X8:AJ8" si="8">F20</f>
        <v>0.871</v>
      </c>
      <c r="Y8" s="71">
        <f t="shared" si="8"/>
        <v>0.81699999999999995</v>
      </c>
      <c r="Z8" s="71">
        <f t="shared" si="8"/>
        <v>0.78100000000000003</v>
      </c>
      <c r="AA8" s="71">
        <f t="shared" si="8"/>
        <v>0.75</v>
      </c>
      <c r="AB8" s="71">
        <f t="shared" si="8"/>
        <v>0.72599999999999998</v>
      </c>
      <c r="AC8" s="71">
        <f t="shared" si="8"/>
        <v>0.70699999999999996</v>
      </c>
      <c r="AD8" s="71">
        <f t="shared" si="8"/>
        <v>0.69099999999999995</v>
      </c>
      <c r="AE8" s="71">
        <f t="shared" si="8"/>
        <v>0.67800000000000005</v>
      </c>
      <c r="AF8" s="71">
        <f t="shared" si="8"/>
        <v>0.66800000000000004</v>
      </c>
      <c r="AG8" s="71">
        <f t="shared" si="8"/>
        <v>0.65900000000000003</v>
      </c>
      <c r="AH8" s="71">
        <f t="shared" si="8"/>
        <v>0.65100000000000002</v>
      </c>
      <c r="AI8" s="71">
        <f t="shared" si="8"/>
        <v>0.64600000000000002</v>
      </c>
      <c r="AJ8" s="71">
        <f t="shared" si="8"/>
        <v>0.64</v>
      </c>
    </row>
    <row r="9" spans="1:36" ht="16.5" customHeight="1" x14ac:dyDescent="0.25">
      <c r="A9" s="2144">
        <v>2</v>
      </c>
      <c r="B9" s="2148">
        <v>10</v>
      </c>
      <c r="C9" s="10">
        <v>2</v>
      </c>
      <c r="D9" s="60">
        <f>V11</f>
        <v>0.93333333333333335</v>
      </c>
      <c r="E9" s="60">
        <f t="shared" ref="E9:R9" si="9">W11</f>
        <v>0.85166666666666668</v>
      </c>
      <c r="F9" s="60">
        <f t="shared" si="9"/>
        <v>0.78366666666666673</v>
      </c>
      <c r="G9" s="60">
        <f t="shared" si="9"/>
        <v>0.73533333333333339</v>
      </c>
      <c r="H9" s="60">
        <f t="shared" si="9"/>
        <v>0.69833333333333336</v>
      </c>
      <c r="I9" s="60">
        <f t="shared" si="9"/>
        <v>0.67133333333333345</v>
      </c>
      <c r="J9" s="60">
        <f t="shared" si="9"/>
        <v>0.64900000000000002</v>
      </c>
      <c r="K9" s="60">
        <f t="shared" si="9"/>
        <v>0.63066666666666671</v>
      </c>
      <c r="L9" s="60">
        <f t="shared" si="9"/>
        <v>0.61366666666666658</v>
      </c>
      <c r="M9" s="60">
        <f t="shared" si="9"/>
        <v>0.60199999999999998</v>
      </c>
      <c r="N9" s="60">
        <f t="shared" si="9"/>
        <v>0.59299999999999986</v>
      </c>
      <c r="O9" s="60">
        <f t="shared" si="9"/>
        <v>0.58199999999999996</v>
      </c>
      <c r="P9" s="60">
        <f t="shared" si="9"/>
        <v>0.57399999999999995</v>
      </c>
      <c r="Q9" s="60">
        <f t="shared" si="9"/>
        <v>0.56833333333333336</v>
      </c>
      <c r="R9" s="61">
        <f t="shared" si="9"/>
        <v>0.56000000000000005</v>
      </c>
      <c r="S9" s="2142"/>
      <c r="T9" s="2143"/>
    </row>
    <row r="10" spans="1:36" ht="16.5" customHeight="1" x14ac:dyDescent="0.25">
      <c r="A10" s="2144">
        <v>2</v>
      </c>
      <c r="B10" s="2148">
        <v>10</v>
      </c>
      <c r="C10" s="10">
        <v>3</v>
      </c>
      <c r="D10" s="60">
        <f>V17</f>
        <v>0.88</v>
      </c>
      <c r="E10" s="60">
        <f t="shared" ref="E10:Q10" si="10">W17</f>
        <v>0.78366666666666673</v>
      </c>
      <c r="F10" s="60">
        <f t="shared" si="10"/>
        <v>0.70633333333333326</v>
      </c>
      <c r="G10" s="60">
        <f t="shared" si="10"/>
        <v>0.64100000000000001</v>
      </c>
      <c r="H10" s="60">
        <f t="shared" si="10"/>
        <v>0.60533333333333339</v>
      </c>
      <c r="I10" s="60">
        <f t="shared" si="10"/>
        <v>0.57799999999999996</v>
      </c>
      <c r="J10" s="60">
        <f t="shared" si="10"/>
        <v>0.55666666666666675</v>
      </c>
      <c r="K10" s="60">
        <f t="shared" si="10"/>
        <v>0.54166666666666663</v>
      </c>
      <c r="L10" s="60">
        <f t="shared" si="10"/>
        <v>0.52866666666666662</v>
      </c>
      <c r="M10" s="60">
        <f t="shared" si="10"/>
        <v>0.51733333333333342</v>
      </c>
      <c r="N10" s="60">
        <f t="shared" si="10"/>
        <v>0.5073333333333333</v>
      </c>
      <c r="O10" s="60">
        <f t="shared" si="10"/>
        <v>0.49966666666666659</v>
      </c>
      <c r="P10" s="60">
        <f t="shared" si="10"/>
        <v>0.49099999999999994</v>
      </c>
      <c r="Q10" s="60">
        <f t="shared" si="10"/>
        <v>0.48499999999999993</v>
      </c>
      <c r="R10" s="61">
        <f>AJ17</f>
        <v>0.47999999999999993</v>
      </c>
      <c r="S10" s="2142"/>
      <c r="T10" s="2143"/>
      <c r="U10" s="69">
        <v>1</v>
      </c>
      <c r="V10" s="70">
        <f>$U10*LINEST(V$12:V$14,$U$12:$U$14,,)+INDEX(LINEST(V$12:V$14,$U$12:$U$14,,),2)</f>
        <v>0.93833333333333335</v>
      </c>
      <c r="W10" s="70">
        <f>$U10*LINEST(W$12:W$14,$U$12:$U$14,,)+INDEX(LINEST(W$12:W$14,$U$12:$U$14,,),2)</f>
        <v>0.86716666666666664</v>
      </c>
      <c r="X10" s="70">
        <f t="shared" ref="X10:AJ11" si="11">$U10*LINEST(X$12:X$14,$U$12:$U$14,,)+INDEX(LINEST(X$12:X$14,$U$12:$U$14,,),2)</f>
        <v>0.79866666666666675</v>
      </c>
      <c r="Y10" s="70">
        <f t="shared" si="11"/>
        <v>0.75033333333333341</v>
      </c>
      <c r="Z10" s="70">
        <f t="shared" si="11"/>
        <v>0.71233333333333337</v>
      </c>
      <c r="AA10" s="70">
        <f t="shared" si="11"/>
        <v>0.68533333333333346</v>
      </c>
      <c r="AB10" s="70">
        <f t="shared" si="11"/>
        <v>0.66300000000000003</v>
      </c>
      <c r="AC10" s="70">
        <f t="shared" si="11"/>
        <v>0.64416666666666667</v>
      </c>
      <c r="AD10" s="70">
        <f t="shared" si="11"/>
        <v>0.62616666666666665</v>
      </c>
      <c r="AE10" s="70">
        <f t="shared" si="11"/>
        <v>0.61450000000000005</v>
      </c>
      <c r="AF10" s="70">
        <f t="shared" si="11"/>
        <v>0.60649999999999982</v>
      </c>
      <c r="AG10" s="70">
        <f t="shared" si="11"/>
        <v>0.59449999999999992</v>
      </c>
      <c r="AH10" s="70">
        <f t="shared" si="11"/>
        <v>0.58649999999999991</v>
      </c>
      <c r="AI10" s="70">
        <f t="shared" si="11"/>
        <v>0.58183333333333342</v>
      </c>
      <c r="AJ10" s="70">
        <f t="shared" si="11"/>
        <v>0.57250000000000001</v>
      </c>
    </row>
    <row r="11" spans="1:36" ht="16.5" customHeight="1" thickBot="1" x14ac:dyDescent="0.3">
      <c r="A11" s="2145">
        <v>2</v>
      </c>
      <c r="B11" s="2149">
        <v>10</v>
      </c>
      <c r="C11" s="17">
        <v>4</v>
      </c>
      <c r="D11" s="62">
        <f>V23</f>
        <v>0.82666666666666655</v>
      </c>
      <c r="E11" s="62">
        <f t="shared" ref="E11:R11" si="12">W23</f>
        <v>0.71999999999999986</v>
      </c>
      <c r="F11" s="62">
        <f t="shared" si="12"/>
        <v>0.63866666666666672</v>
      </c>
      <c r="G11" s="62">
        <f t="shared" si="12"/>
        <v>0.57633333333333325</v>
      </c>
      <c r="H11" s="62">
        <f t="shared" si="12"/>
        <v>0.54233333333333344</v>
      </c>
      <c r="I11" s="62">
        <f t="shared" si="12"/>
        <v>0.51500000000000001</v>
      </c>
      <c r="J11" s="62">
        <f t="shared" si="12"/>
        <v>0.4966666666666667</v>
      </c>
      <c r="K11" s="62">
        <f t="shared" si="12"/>
        <v>0.47833333333333328</v>
      </c>
      <c r="L11" s="62">
        <f t="shared" si="12"/>
        <v>0.46333333333333332</v>
      </c>
      <c r="M11" s="62">
        <f t="shared" si="12"/>
        <v>0.45133333333333331</v>
      </c>
      <c r="N11" s="62">
        <f t="shared" si="12"/>
        <v>0.44166666666666671</v>
      </c>
      <c r="O11" s="62">
        <f t="shared" si="12"/>
        <v>0.4326666666666667</v>
      </c>
      <c r="P11" s="62">
        <f t="shared" si="12"/>
        <v>0.42499999999999999</v>
      </c>
      <c r="Q11" s="62">
        <f t="shared" si="12"/>
        <v>0.41799999999999998</v>
      </c>
      <c r="R11" s="63">
        <f t="shared" si="12"/>
        <v>0.41000000000000009</v>
      </c>
      <c r="S11" s="2142"/>
      <c r="T11" s="2143"/>
      <c r="U11" s="69">
        <v>2</v>
      </c>
      <c r="V11" s="70">
        <f>$U11*LINEST(V$12:V$14,$U$12:$U$14,,)+INDEX(LINEST(V$12:V$14,$U$12:$U$14,,),2)</f>
        <v>0.93333333333333335</v>
      </c>
      <c r="W11" s="70">
        <f>$U11*LINEST(W$12:W$14,$U$12:$U$14,,)+INDEX(LINEST(W$12:W$14,$U$12:$U$14,,),2)</f>
        <v>0.85166666666666668</v>
      </c>
      <c r="X11" s="70">
        <f t="shared" si="11"/>
        <v>0.78366666666666673</v>
      </c>
      <c r="Y11" s="70">
        <f t="shared" si="11"/>
        <v>0.73533333333333339</v>
      </c>
      <c r="Z11" s="70">
        <f t="shared" si="11"/>
        <v>0.69833333333333336</v>
      </c>
      <c r="AA11" s="70">
        <f t="shared" si="11"/>
        <v>0.67133333333333345</v>
      </c>
      <c r="AB11" s="70">
        <f t="shared" si="11"/>
        <v>0.64900000000000002</v>
      </c>
      <c r="AC11" s="70">
        <f t="shared" si="11"/>
        <v>0.63066666666666671</v>
      </c>
      <c r="AD11" s="70">
        <f t="shared" si="11"/>
        <v>0.61366666666666658</v>
      </c>
      <c r="AE11" s="70">
        <f t="shared" si="11"/>
        <v>0.60199999999999998</v>
      </c>
      <c r="AF11" s="70">
        <f t="shared" si="11"/>
        <v>0.59299999999999986</v>
      </c>
      <c r="AG11" s="70">
        <f t="shared" si="11"/>
        <v>0.58199999999999996</v>
      </c>
      <c r="AH11" s="70">
        <f t="shared" si="11"/>
        <v>0.57399999999999995</v>
      </c>
      <c r="AI11" s="70">
        <f t="shared" si="11"/>
        <v>0.56833333333333336</v>
      </c>
      <c r="AJ11" s="70">
        <f t="shared" si="11"/>
        <v>0.56000000000000005</v>
      </c>
    </row>
    <row r="12" spans="1:36" x14ac:dyDescent="0.25">
      <c r="A12" s="2144">
        <v>3</v>
      </c>
      <c r="B12" s="2147">
        <v>8</v>
      </c>
      <c r="C12" s="15">
        <v>1</v>
      </c>
      <c r="D12" s="16">
        <v>1</v>
      </c>
      <c r="E12" s="16">
        <v>0.94199999999999995</v>
      </c>
      <c r="F12" s="16">
        <v>0.88500000000000001</v>
      </c>
      <c r="G12" s="16">
        <v>0.83499999999999996</v>
      </c>
      <c r="H12" s="16">
        <v>0.79500000000000004</v>
      </c>
      <c r="I12" s="16">
        <v>0.76800000000000002</v>
      </c>
      <c r="J12" s="16">
        <v>0.745</v>
      </c>
      <c r="K12" s="16">
        <v>0.72699999999999998</v>
      </c>
      <c r="L12" s="16">
        <v>0.71</v>
      </c>
      <c r="M12" s="16">
        <v>0.69799999999999995</v>
      </c>
      <c r="N12" s="16">
        <v>0.68799999999999994</v>
      </c>
      <c r="O12" s="16">
        <v>0.67900000000000005</v>
      </c>
      <c r="P12" s="16">
        <v>0.67100000000000004</v>
      </c>
      <c r="Q12" s="16">
        <v>0.66400000000000003</v>
      </c>
      <c r="R12" s="33">
        <v>0.65800000000000003</v>
      </c>
      <c r="S12" s="2142"/>
      <c r="T12" s="2143"/>
      <c r="U12" s="69">
        <v>3</v>
      </c>
      <c r="V12" s="71">
        <f>D13</f>
        <v>0.93</v>
      </c>
      <c r="W12" s="71">
        <f>E13</f>
        <v>0.84</v>
      </c>
      <c r="X12" s="71">
        <f t="shared" ref="X12:AJ12" si="13">F13</f>
        <v>0.77200000000000002</v>
      </c>
      <c r="Y12" s="71">
        <f t="shared" si="13"/>
        <v>0.72299999999999998</v>
      </c>
      <c r="Z12" s="71">
        <f t="shared" si="13"/>
        <v>0.68700000000000006</v>
      </c>
      <c r="AA12" s="71">
        <f t="shared" si="13"/>
        <v>0.66</v>
      </c>
      <c r="AB12" s="71">
        <f t="shared" si="13"/>
        <v>0.63800000000000001</v>
      </c>
      <c r="AC12" s="71">
        <f t="shared" si="13"/>
        <v>0.62</v>
      </c>
      <c r="AD12" s="71">
        <f t="shared" si="13"/>
        <v>0.60399999999999998</v>
      </c>
      <c r="AE12" s="71">
        <f t="shared" si="13"/>
        <v>0.59199999999999997</v>
      </c>
      <c r="AF12" s="71">
        <f t="shared" si="13"/>
        <v>0.58199999999999996</v>
      </c>
      <c r="AG12" s="71">
        <f t="shared" si="13"/>
        <v>0.57199999999999995</v>
      </c>
      <c r="AH12" s="71">
        <f t="shared" si="13"/>
        <v>0.56399999999999995</v>
      </c>
      <c r="AI12" s="71">
        <f t="shared" si="13"/>
        <v>0.55700000000000005</v>
      </c>
      <c r="AJ12" s="71">
        <f t="shared" si="13"/>
        <v>0.55000000000000004</v>
      </c>
    </row>
    <row r="13" spans="1:36" x14ac:dyDescent="0.25">
      <c r="A13" s="2144"/>
      <c r="B13" s="2148"/>
      <c r="C13" s="10">
        <v>2</v>
      </c>
      <c r="D13" s="11">
        <v>0.93</v>
      </c>
      <c r="E13" s="11">
        <v>0.84</v>
      </c>
      <c r="F13" s="11">
        <v>0.77200000000000002</v>
      </c>
      <c r="G13" s="11">
        <v>0.72299999999999998</v>
      </c>
      <c r="H13" s="11">
        <v>0.68700000000000006</v>
      </c>
      <c r="I13" s="11">
        <v>0.66</v>
      </c>
      <c r="J13" s="11">
        <v>0.63800000000000001</v>
      </c>
      <c r="K13" s="11">
        <v>0.62</v>
      </c>
      <c r="L13" s="11">
        <v>0.60399999999999998</v>
      </c>
      <c r="M13" s="11">
        <v>0.59199999999999997</v>
      </c>
      <c r="N13" s="11">
        <v>0.58199999999999996</v>
      </c>
      <c r="O13" s="11">
        <v>0.57199999999999995</v>
      </c>
      <c r="P13" s="11">
        <v>0.56399999999999995</v>
      </c>
      <c r="Q13" s="11">
        <v>0.55700000000000005</v>
      </c>
      <c r="R13" s="26">
        <v>0.55000000000000004</v>
      </c>
      <c r="S13" s="2142"/>
      <c r="T13" s="2143"/>
      <c r="U13" s="69">
        <v>4</v>
      </c>
      <c r="V13" s="71">
        <f>D17</f>
        <v>0.92</v>
      </c>
      <c r="W13" s="71">
        <f>E17</f>
        <v>0.81299999999999994</v>
      </c>
      <c r="X13" s="71">
        <f t="shared" ref="X13:AJ13" si="14">F17</f>
        <v>0.747</v>
      </c>
      <c r="Y13" s="71">
        <f t="shared" si="14"/>
        <v>0.7</v>
      </c>
      <c r="Z13" s="71">
        <f t="shared" si="14"/>
        <v>0.66500000000000004</v>
      </c>
      <c r="AA13" s="71">
        <f t="shared" si="14"/>
        <v>0.63800000000000001</v>
      </c>
      <c r="AB13" s="71">
        <f t="shared" si="14"/>
        <v>0.61499999999999999</v>
      </c>
      <c r="AC13" s="71">
        <f t="shared" si="14"/>
        <v>0.59799999999999998</v>
      </c>
      <c r="AD13" s="71">
        <f t="shared" si="14"/>
        <v>0.58299999999999996</v>
      </c>
      <c r="AE13" s="71">
        <f t="shared" si="14"/>
        <v>0.57199999999999995</v>
      </c>
      <c r="AF13" s="71">
        <f t="shared" si="14"/>
        <v>0.56100000000000005</v>
      </c>
      <c r="AG13" s="71">
        <f t="shared" si="14"/>
        <v>0.55200000000000005</v>
      </c>
      <c r="AH13" s="71">
        <f t="shared" si="14"/>
        <v>0.54400000000000004</v>
      </c>
      <c r="AI13" s="71">
        <f t="shared" si="14"/>
        <v>0.53700000000000003</v>
      </c>
      <c r="AJ13" s="71">
        <f t="shared" si="14"/>
        <v>0.53</v>
      </c>
    </row>
    <row r="14" spans="1:36" x14ac:dyDescent="0.25">
      <c r="A14" s="2144"/>
      <c r="B14" s="2148"/>
      <c r="C14" s="10">
        <v>3</v>
      </c>
      <c r="D14" s="11">
        <v>0.87</v>
      </c>
      <c r="E14" s="11">
        <v>0.77200000000000002</v>
      </c>
      <c r="F14" s="11">
        <v>0.69399999999999995</v>
      </c>
      <c r="G14" s="11">
        <v>0.63200000000000001</v>
      </c>
      <c r="H14" s="11">
        <v>0.59599999999999997</v>
      </c>
      <c r="I14" s="11">
        <v>0.56899999999999995</v>
      </c>
      <c r="J14" s="11">
        <v>0.54800000000000004</v>
      </c>
      <c r="K14" s="11">
        <v>0.53200000000000003</v>
      </c>
      <c r="L14" s="11">
        <v>0.51900000000000002</v>
      </c>
      <c r="M14" s="11">
        <v>0.50800000000000001</v>
      </c>
      <c r="N14" s="11">
        <v>0.498</v>
      </c>
      <c r="O14" s="11">
        <v>0.49</v>
      </c>
      <c r="P14" s="11">
        <v>0.48199999999999998</v>
      </c>
      <c r="Q14" s="11">
        <v>0.47599999999999998</v>
      </c>
      <c r="R14" s="26">
        <v>0.47</v>
      </c>
      <c r="S14" s="2142"/>
      <c r="T14" s="2143"/>
      <c r="U14" s="69">
        <v>5</v>
      </c>
      <c r="V14" s="71">
        <f>D21</f>
        <v>0.92</v>
      </c>
      <c r="W14" s="71">
        <f>E21</f>
        <v>0.80900000000000005</v>
      </c>
      <c r="X14" s="71">
        <f t="shared" ref="X14:AJ14" si="15">F21</f>
        <v>0.74199999999999999</v>
      </c>
      <c r="Y14" s="71">
        <f t="shared" si="15"/>
        <v>0.69299999999999995</v>
      </c>
      <c r="Z14" s="71">
        <f t="shared" si="15"/>
        <v>0.65900000000000003</v>
      </c>
      <c r="AA14" s="71">
        <f t="shared" si="15"/>
        <v>0.63200000000000001</v>
      </c>
      <c r="AB14" s="71">
        <f t="shared" si="15"/>
        <v>0.61</v>
      </c>
      <c r="AC14" s="71">
        <f t="shared" si="15"/>
        <v>0.59299999999999997</v>
      </c>
      <c r="AD14" s="71">
        <f t="shared" si="15"/>
        <v>0.57899999999999996</v>
      </c>
      <c r="AE14" s="71">
        <f t="shared" si="15"/>
        <v>0.56699999999999995</v>
      </c>
      <c r="AF14" s="71">
        <f t="shared" si="15"/>
        <v>0.55500000000000005</v>
      </c>
      <c r="AG14" s="71">
        <f t="shared" si="15"/>
        <v>0.54700000000000004</v>
      </c>
      <c r="AH14" s="71">
        <f t="shared" si="15"/>
        <v>0.53900000000000003</v>
      </c>
      <c r="AI14" s="71">
        <f t="shared" si="15"/>
        <v>0.53</v>
      </c>
      <c r="AJ14" s="71">
        <f t="shared" si="15"/>
        <v>0.52500000000000002</v>
      </c>
    </row>
    <row r="15" spans="1:36" ht="13.8" thickBot="1" x14ac:dyDescent="0.3">
      <c r="A15" s="2145"/>
      <c r="B15" s="2149"/>
      <c r="C15" s="17">
        <v>4</v>
      </c>
      <c r="D15" s="18">
        <v>0.82</v>
      </c>
      <c r="E15" s="18">
        <v>0.71</v>
      </c>
      <c r="F15" s="18">
        <v>0.629</v>
      </c>
      <c r="G15" s="18">
        <v>0.57099999999999995</v>
      </c>
      <c r="H15" s="18">
        <v>0.53600000000000003</v>
      </c>
      <c r="I15" s="18">
        <v>0.50900000000000001</v>
      </c>
      <c r="J15" s="18">
        <v>0.49</v>
      </c>
      <c r="K15" s="18">
        <v>0.47199999999999998</v>
      </c>
      <c r="L15" s="18">
        <v>0.45800000000000002</v>
      </c>
      <c r="M15" s="18">
        <v>0.44600000000000001</v>
      </c>
      <c r="N15" s="18">
        <v>0.436</v>
      </c>
      <c r="O15" s="18">
        <v>0.42799999999999999</v>
      </c>
      <c r="P15" s="18">
        <v>0.42</v>
      </c>
      <c r="Q15" s="18">
        <v>0.41199999999999998</v>
      </c>
      <c r="R15" s="27">
        <v>0.40500000000000003</v>
      </c>
      <c r="S15" s="2142"/>
      <c r="T15" s="2143"/>
      <c r="Z15" s="70"/>
    </row>
    <row r="16" spans="1:36" x14ac:dyDescent="0.25">
      <c r="A16" s="2144">
        <v>4</v>
      </c>
      <c r="B16" s="2147">
        <v>6</v>
      </c>
      <c r="C16" s="15">
        <v>1</v>
      </c>
      <c r="D16" s="16">
        <v>1</v>
      </c>
      <c r="E16" s="16">
        <v>0.93</v>
      </c>
      <c r="F16" s="16">
        <v>0.874</v>
      </c>
      <c r="G16" s="16">
        <v>0.82599999999999996</v>
      </c>
      <c r="H16" s="16">
        <v>0.79</v>
      </c>
      <c r="I16" s="16">
        <v>0.76</v>
      </c>
      <c r="J16" s="16">
        <v>0.73699999999999999</v>
      </c>
      <c r="K16" s="16">
        <v>0.71799999999999997</v>
      </c>
      <c r="L16" s="16">
        <v>0.70199999999999996</v>
      </c>
      <c r="M16" s="16">
        <v>0.69</v>
      </c>
      <c r="N16" s="16">
        <v>0.68</v>
      </c>
      <c r="O16" s="16">
        <v>0.67100000000000004</v>
      </c>
      <c r="P16" s="16">
        <v>0.66300000000000003</v>
      </c>
      <c r="Q16" s="16">
        <v>0.65600000000000003</v>
      </c>
      <c r="R16" s="33">
        <v>0.65</v>
      </c>
      <c r="S16" s="2142"/>
      <c r="T16" s="2143"/>
      <c r="U16" s="69">
        <v>1</v>
      </c>
      <c r="V16" s="70">
        <f t="shared" ref="V16:AJ17" si="16">$U16*LINEST(V$18:V$20,$U$18:$U$20,,)+INDEX(LINEST(V$18:V$20,$U$18:$U$20,,),2)</f>
        <v>0.89</v>
      </c>
      <c r="W16" s="70">
        <f>$U16*LINEST(W$18:W$20,$U$18:$U$20,,)+INDEX(LINEST(W$18:W$20,$U$18:$U$20,,),2)</f>
        <v>0.79866666666666675</v>
      </c>
      <c r="X16" s="70">
        <f t="shared" si="16"/>
        <v>0.71933333333333316</v>
      </c>
      <c r="Y16" s="70">
        <f t="shared" si="16"/>
        <v>0.64949999999999997</v>
      </c>
      <c r="Z16" s="70">
        <f t="shared" si="16"/>
        <v>0.6143333333333334</v>
      </c>
      <c r="AA16" s="70">
        <f t="shared" si="16"/>
        <v>0.58699999999999997</v>
      </c>
      <c r="AB16" s="70">
        <f t="shared" si="16"/>
        <v>0.56516666666666682</v>
      </c>
      <c r="AC16" s="70">
        <f t="shared" si="16"/>
        <v>0.55066666666666664</v>
      </c>
      <c r="AD16" s="70">
        <f t="shared" si="16"/>
        <v>0.53816666666666668</v>
      </c>
      <c r="AE16" s="70">
        <f t="shared" si="16"/>
        <v>0.52683333333333338</v>
      </c>
      <c r="AF16" s="70">
        <f t="shared" si="16"/>
        <v>0.51633333333333331</v>
      </c>
      <c r="AG16" s="70">
        <f t="shared" si="16"/>
        <v>0.50916666666666666</v>
      </c>
      <c r="AH16" s="70">
        <f t="shared" si="16"/>
        <v>0.49999999999999989</v>
      </c>
      <c r="AI16" s="70">
        <f t="shared" si="16"/>
        <v>0.49399999999999988</v>
      </c>
      <c r="AJ16" s="70">
        <f t="shared" si="16"/>
        <v>0.48999999999999988</v>
      </c>
    </row>
    <row r="17" spans="1:36" x14ac:dyDescent="0.25">
      <c r="A17" s="2144"/>
      <c r="B17" s="2148"/>
      <c r="C17" s="10">
        <v>2</v>
      </c>
      <c r="D17" s="11">
        <v>0.92</v>
      </c>
      <c r="E17" s="11">
        <v>0.81299999999999994</v>
      </c>
      <c r="F17" s="11">
        <v>0.747</v>
      </c>
      <c r="G17" s="11">
        <v>0.7</v>
      </c>
      <c r="H17" s="11">
        <v>0.66500000000000004</v>
      </c>
      <c r="I17" s="11">
        <v>0.63800000000000001</v>
      </c>
      <c r="J17" s="11">
        <v>0.61499999999999999</v>
      </c>
      <c r="K17" s="11">
        <v>0.59799999999999998</v>
      </c>
      <c r="L17" s="11">
        <v>0.58299999999999996</v>
      </c>
      <c r="M17" s="11">
        <v>0.57199999999999995</v>
      </c>
      <c r="N17" s="11">
        <v>0.56100000000000005</v>
      </c>
      <c r="O17" s="11">
        <v>0.55200000000000005</v>
      </c>
      <c r="P17" s="11">
        <v>0.54400000000000004</v>
      </c>
      <c r="Q17" s="11">
        <v>0.53700000000000003</v>
      </c>
      <c r="R17" s="26">
        <v>0.53</v>
      </c>
      <c r="S17" s="2142"/>
      <c r="T17" s="2143"/>
      <c r="U17" s="69">
        <v>2</v>
      </c>
      <c r="V17" s="70">
        <f>$U17*LINEST(V$18:V$20,$U$18:$U$20,,)+INDEX(LINEST(V$18:V$20,$U$18:$U$20,,),2)</f>
        <v>0.88</v>
      </c>
      <c r="W17" s="70">
        <f>$U17*LINEST(W$18:W$20,$U$18:$U$20,,)+INDEX(LINEST(W$18:W$20,$U$18:$U$20,,),2)</f>
        <v>0.78366666666666673</v>
      </c>
      <c r="X17" s="70">
        <f t="shared" si="16"/>
        <v>0.70633333333333326</v>
      </c>
      <c r="Y17" s="70">
        <f t="shared" si="16"/>
        <v>0.64100000000000001</v>
      </c>
      <c r="Z17" s="70">
        <f t="shared" si="16"/>
        <v>0.60533333333333339</v>
      </c>
      <c r="AA17" s="70">
        <f t="shared" si="16"/>
        <v>0.57799999999999996</v>
      </c>
      <c r="AB17" s="70">
        <f t="shared" si="16"/>
        <v>0.55666666666666675</v>
      </c>
      <c r="AC17" s="70">
        <f t="shared" si="16"/>
        <v>0.54166666666666663</v>
      </c>
      <c r="AD17" s="70">
        <f t="shared" si="16"/>
        <v>0.52866666666666662</v>
      </c>
      <c r="AE17" s="70">
        <f t="shared" si="16"/>
        <v>0.51733333333333342</v>
      </c>
      <c r="AF17" s="70">
        <f t="shared" si="16"/>
        <v>0.5073333333333333</v>
      </c>
      <c r="AG17" s="70">
        <f t="shared" si="16"/>
        <v>0.49966666666666659</v>
      </c>
      <c r="AH17" s="70">
        <f t="shared" si="16"/>
        <v>0.49099999999999994</v>
      </c>
      <c r="AI17" s="70">
        <f t="shared" si="16"/>
        <v>0.48499999999999993</v>
      </c>
      <c r="AJ17" s="70">
        <f t="shared" si="16"/>
        <v>0.47999999999999993</v>
      </c>
    </row>
    <row r="18" spans="1:36" x14ac:dyDescent="0.25">
      <c r="A18" s="2144"/>
      <c r="B18" s="2148"/>
      <c r="C18" s="10">
        <v>3</v>
      </c>
      <c r="D18" s="11">
        <v>0.86</v>
      </c>
      <c r="E18" s="11">
        <v>0.747</v>
      </c>
      <c r="F18" s="11">
        <v>0.67900000000000005</v>
      </c>
      <c r="G18" s="11">
        <v>0.625</v>
      </c>
      <c r="H18" s="11">
        <v>0.58799999999999997</v>
      </c>
      <c r="I18" s="11">
        <v>0.56000000000000005</v>
      </c>
      <c r="J18" s="11">
        <v>0.54</v>
      </c>
      <c r="K18" s="11">
        <v>0.52500000000000002</v>
      </c>
      <c r="L18" s="11">
        <v>0.51</v>
      </c>
      <c r="M18" s="11">
        <v>0.498</v>
      </c>
      <c r="N18" s="11">
        <v>0.49</v>
      </c>
      <c r="O18" s="11">
        <v>0.48099999999999998</v>
      </c>
      <c r="P18" s="11">
        <v>0.47299999999999998</v>
      </c>
      <c r="Q18" s="11">
        <v>0.46700000000000003</v>
      </c>
      <c r="R18" s="26">
        <v>0.46</v>
      </c>
      <c r="S18" s="2142"/>
      <c r="T18" s="2143"/>
      <c r="U18" s="69">
        <v>3</v>
      </c>
      <c r="V18" s="71">
        <f>D14</f>
        <v>0.87</v>
      </c>
      <c r="W18" s="71">
        <f>E14</f>
        <v>0.77200000000000002</v>
      </c>
      <c r="X18" s="71">
        <f t="shared" ref="X18:AJ18" si="17">F14</f>
        <v>0.69399999999999995</v>
      </c>
      <c r="Y18" s="71">
        <f t="shared" si="17"/>
        <v>0.63200000000000001</v>
      </c>
      <c r="Z18" s="71">
        <f t="shared" si="17"/>
        <v>0.59599999999999997</v>
      </c>
      <c r="AA18" s="71">
        <f t="shared" si="17"/>
        <v>0.56899999999999995</v>
      </c>
      <c r="AB18" s="71">
        <f t="shared" si="17"/>
        <v>0.54800000000000004</v>
      </c>
      <c r="AC18" s="71">
        <f t="shared" si="17"/>
        <v>0.53200000000000003</v>
      </c>
      <c r="AD18" s="71">
        <f t="shared" si="17"/>
        <v>0.51900000000000002</v>
      </c>
      <c r="AE18" s="71">
        <f t="shared" si="17"/>
        <v>0.50800000000000001</v>
      </c>
      <c r="AF18" s="71">
        <f t="shared" si="17"/>
        <v>0.498</v>
      </c>
      <c r="AG18" s="71">
        <f t="shared" si="17"/>
        <v>0.49</v>
      </c>
      <c r="AH18" s="71">
        <f t="shared" si="17"/>
        <v>0.48199999999999998</v>
      </c>
      <c r="AI18" s="71">
        <f t="shared" si="17"/>
        <v>0.47599999999999998</v>
      </c>
      <c r="AJ18" s="71">
        <f t="shared" si="17"/>
        <v>0.47</v>
      </c>
    </row>
    <row r="19" spans="1:36" ht="13.8" thickBot="1" x14ac:dyDescent="0.3">
      <c r="A19" s="2145"/>
      <c r="B19" s="2149"/>
      <c r="C19" s="17">
        <v>4</v>
      </c>
      <c r="D19" s="18">
        <v>0.81</v>
      </c>
      <c r="E19" s="18">
        <v>0.7</v>
      </c>
      <c r="F19" s="18">
        <v>0.62</v>
      </c>
      <c r="G19" s="18">
        <v>0.56499999999999995</v>
      </c>
      <c r="H19" s="18">
        <v>0.53100000000000003</v>
      </c>
      <c r="I19" s="18">
        <v>0.503</v>
      </c>
      <c r="J19" s="18">
        <v>0.48399999999999999</v>
      </c>
      <c r="K19" s="18">
        <v>0.46700000000000003</v>
      </c>
      <c r="L19" s="18">
        <v>0.45200000000000001</v>
      </c>
      <c r="M19" s="18">
        <v>0.44</v>
      </c>
      <c r="N19" s="18">
        <v>0.43099999999999999</v>
      </c>
      <c r="O19" s="18">
        <v>0.42199999999999999</v>
      </c>
      <c r="P19" s="18">
        <v>0.41499999999999998</v>
      </c>
      <c r="Q19" s="18">
        <v>0.40799999999999997</v>
      </c>
      <c r="R19" s="27">
        <v>0.4</v>
      </c>
      <c r="S19" s="2142"/>
      <c r="T19" s="2143"/>
      <c r="U19" s="69">
        <v>4</v>
      </c>
      <c r="V19" s="71">
        <f>D18</f>
        <v>0.86</v>
      </c>
      <c r="W19" s="71">
        <f>E18</f>
        <v>0.747</v>
      </c>
      <c r="X19" s="71">
        <f t="shared" ref="X19:AJ19" si="18">F18</f>
        <v>0.67900000000000005</v>
      </c>
      <c r="Y19" s="71">
        <f t="shared" si="18"/>
        <v>0.625</v>
      </c>
      <c r="Z19" s="71">
        <f t="shared" si="18"/>
        <v>0.58799999999999997</v>
      </c>
      <c r="AA19" s="71">
        <f t="shared" si="18"/>
        <v>0.56000000000000005</v>
      </c>
      <c r="AB19" s="71">
        <f t="shared" si="18"/>
        <v>0.54</v>
      </c>
      <c r="AC19" s="71">
        <f t="shared" si="18"/>
        <v>0.52500000000000002</v>
      </c>
      <c r="AD19" s="71">
        <f t="shared" si="18"/>
        <v>0.51</v>
      </c>
      <c r="AE19" s="71">
        <f t="shared" si="18"/>
        <v>0.498</v>
      </c>
      <c r="AF19" s="71">
        <f t="shared" si="18"/>
        <v>0.49</v>
      </c>
      <c r="AG19" s="71">
        <f t="shared" si="18"/>
        <v>0.48099999999999998</v>
      </c>
      <c r="AH19" s="71">
        <f t="shared" si="18"/>
        <v>0.47299999999999998</v>
      </c>
      <c r="AI19" s="71">
        <f t="shared" si="18"/>
        <v>0.46700000000000003</v>
      </c>
      <c r="AJ19" s="71">
        <f t="shared" si="18"/>
        <v>0.46</v>
      </c>
    </row>
    <row r="20" spans="1:36" x14ac:dyDescent="0.25">
      <c r="A20" s="2144">
        <v>5</v>
      </c>
      <c r="B20" s="2151">
        <v>4</v>
      </c>
      <c r="C20" s="15">
        <v>1</v>
      </c>
      <c r="D20" s="16">
        <v>1</v>
      </c>
      <c r="E20" s="16">
        <v>0.92500000000000004</v>
      </c>
      <c r="F20" s="16">
        <v>0.871</v>
      </c>
      <c r="G20" s="16">
        <v>0.81699999999999995</v>
      </c>
      <c r="H20" s="16">
        <v>0.78100000000000003</v>
      </c>
      <c r="I20" s="16">
        <v>0.75</v>
      </c>
      <c r="J20" s="16">
        <v>0.72599999999999998</v>
      </c>
      <c r="K20" s="16">
        <v>0.70699999999999996</v>
      </c>
      <c r="L20" s="16">
        <v>0.69099999999999995</v>
      </c>
      <c r="M20" s="16">
        <v>0.67800000000000005</v>
      </c>
      <c r="N20" s="16">
        <v>0.66800000000000004</v>
      </c>
      <c r="O20" s="16">
        <v>0.65900000000000003</v>
      </c>
      <c r="P20" s="16">
        <v>0.65100000000000002</v>
      </c>
      <c r="Q20" s="16">
        <v>0.64600000000000002</v>
      </c>
      <c r="R20" s="33">
        <v>0.64</v>
      </c>
      <c r="S20" s="2142"/>
      <c r="T20" s="2143"/>
      <c r="U20" s="69">
        <v>5</v>
      </c>
      <c r="V20" s="71">
        <f>D22</f>
        <v>0.85</v>
      </c>
      <c r="W20" s="71">
        <f>E22</f>
        <v>0.74199999999999999</v>
      </c>
      <c r="X20" s="71">
        <f t="shared" ref="X20:AJ20" si="19">F22</f>
        <v>0.66800000000000004</v>
      </c>
      <c r="Y20" s="71">
        <f t="shared" si="19"/>
        <v>0.61499999999999999</v>
      </c>
      <c r="Z20" s="71">
        <f t="shared" si="19"/>
        <v>0.57799999999999996</v>
      </c>
      <c r="AA20" s="71">
        <f t="shared" si="19"/>
        <v>0.55100000000000005</v>
      </c>
      <c r="AB20" s="71">
        <f t="shared" si="19"/>
        <v>0.53100000000000003</v>
      </c>
      <c r="AC20" s="71">
        <f t="shared" si="19"/>
        <v>0.51400000000000001</v>
      </c>
      <c r="AD20" s="71">
        <f t="shared" si="19"/>
        <v>0.5</v>
      </c>
      <c r="AE20" s="71">
        <f t="shared" si="19"/>
        <v>0.48899999999999999</v>
      </c>
      <c r="AF20" s="71">
        <f t="shared" si="19"/>
        <v>0.48</v>
      </c>
      <c r="AG20" s="71">
        <f t="shared" si="19"/>
        <v>0.47099999999999997</v>
      </c>
      <c r="AH20" s="71">
        <f t="shared" si="19"/>
        <v>0.46400000000000002</v>
      </c>
      <c r="AI20" s="71">
        <f t="shared" si="19"/>
        <v>0.45800000000000002</v>
      </c>
      <c r="AJ20" s="71">
        <f t="shared" si="19"/>
        <v>0.45</v>
      </c>
    </row>
    <row r="21" spans="1:36" x14ac:dyDescent="0.25">
      <c r="A21" s="2144"/>
      <c r="B21" s="2152"/>
      <c r="C21" s="10">
        <v>2</v>
      </c>
      <c r="D21" s="11">
        <v>0.92</v>
      </c>
      <c r="E21" s="11">
        <v>0.80900000000000005</v>
      </c>
      <c r="F21" s="11">
        <v>0.74199999999999999</v>
      </c>
      <c r="G21" s="11">
        <v>0.69299999999999995</v>
      </c>
      <c r="H21" s="11">
        <v>0.65900000000000003</v>
      </c>
      <c r="I21" s="11">
        <v>0.63200000000000001</v>
      </c>
      <c r="J21" s="11">
        <v>0.61</v>
      </c>
      <c r="K21" s="11">
        <v>0.59299999999999997</v>
      </c>
      <c r="L21" s="11">
        <v>0.57899999999999996</v>
      </c>
      <c r="M21" s="11">
        <v>0.56699999999999995</v>
      </c>
      <c r="N21" s="11">
        <v>0.55500000000000005</v>
      </c>
      <c r="O21" s="11">
        <v>0.54700000000000004</v>
      </c>
      <c r="P21" s="11">
        <v>0.53900000000000003</v>
      </c>
      <c r="Q21" s="11">
        <v>0.53</v>
      </c>
      <c r="R21" s="26">
        <v>0.52500000000000002</v>
      </c>
      <c r="X21" s="70"/>
    </row>
    <row r="22" spans="1:36" x14ac:dyDescent="0.25">
      <c r="A22" s="2144"/>
      <c r="B22" s="2152"/>
      <c r="C22" s="10">
        <v>3</v>
      </c>
      <c r="D22" s="11">
        <v>0.85</v>
      </c>
      <c r="E22" s="11">
        <v>0.74199999999999999</v>
      </c>
      <c r="F22" s="11">
        <v>0.66800000000000004</v>
      </c>
      <c r="G22" s="11">
        <v>0.61499999999999999</v>
      </c>
      <c r="H22" s="11">
        <v>0.57799999999999996</v>
      </c>
      <c r="I22" s="11">
        <v>0.55100000000000005</v>
      </c>
      <c r="J22" s="11">
        <v>0.53100000000000003</v>
      </c>
      <c r="K22" s="11">
        <v>0.51400000000000001</v>
      </c>
      <c r="L22" s="11">
        <v>0.5</v>
      </c>
      <c r="M22" s="11">
        <v>0.48899999999999999</v>
      </c>
      <c r="N22" s="11">
        <v>0.48</v>
      </c>
      <c r="O22" s="11">
        <v>0.47099999999999997</v>
      </c>
      <c r="P22" s="11">
        <v>0.46400000000000002</v>
      </c>
      <c r="Q22" s="11">
        <v>0.45800000000000002</v>
      </c>
      <c r="R22" s="26">
        <v>0.45</v>
      </c>
      <c r="U22" s="69">
        <v>1</v>
      </c>
      <c r="V22" s="70">
        <f>$U22*LINEST(V$24:V$26,$U$24:$U$26,,)+INDEX(LINEST(V$24:V$26,$U$24:$U$26,,),2)</f>
        <v>0.8341666666666665</v>
      </c>
      <c r="W22" s="70">
        <f>$U22*LINEST(W$24:W$26,$U$24:$U$26,,)+INDEX(LINEST(W$24:W$26,$U$24:$U$26,,),2)</f>
        <v>0.72999999999999987</v>
      </c>
      <c r="X22" s="70">
        <f t="shared" ref="X22:AJ23" si="20">$U22*LINEST(X$24:X$26,$U$24:$U$26,,)+INDEX(LINEST(X$24:X$26,$U$24:$U$26,,),2)</f>
        <v>0.64816666666666678</v>
      </c>
      <c r="Y22" s="70">
        <f t="shared" si="20"/>
        <v>0.5818333333333332</v>
      </c>
      <c r="Z22" s="70">
        <f t="shared" si="20"/>
        <v>0.54833333333333345</v>
      </c>
      <c r="AA22" s="70">
        <f t="shared" si="20"/>
        <v>0.52100000000000002</v>
      </c>
      <c r="AB22" s="70">
        <f t="shared" si="20"/>
        <v>0.50316666666666676</v>
      </c>
      <c r="AC22" s="70">
        <f t="shared" si="20"/>
        <v>0.48433333333333328</v>
      </c>
      <c r="AD22" s="70">
        <f t="shared" si="20"/>
        <v>0.46883333333333332</v>
      </c>
      <c r="AE22" s="70">
        <f t="shared" si="20"/>
        <v>0.45683333333333331</v>
      </c>
      <c r="AF22" s="70">
        <f t="shared" si="20"/>
        <v>0.44716666666666671</v>
      </c>
      <c r="AG22" s="70">
        <f t="shared" si="20"/>
        <v>0.4376666666666667</v>
      </c>
      <c r="AH22" s="70">
        <f t="shared" si="20"/>
        <v>0.43</v>
      </c>
      <c r="AI22" s="70">
        <f t="shared" si="20"/>
        <v>0.42349999999999999</v>
      </c>
      <c r="AJ22" s="70">
        <f t="shared" si="20"/>
        <v>0.41500000000000009</v>
      </c>
    </row>
    <row r="23" spans="1:36" ht="13.8" thickBot="1" x14ac:dyDescent="0.3">
      <c r="A23" s="2145"/>
      <c r="B23" s="2153"/>
      <c r="C23" s="17">
        <v>4</v>
      </c>
      <c r="D23" s="18">
        <v>0.80500000000000005</v>
      </c>
      <c r="E23" s="18">
        <v>0.69</v>
      </c>
      <c r="F23" s="18">
        <v>0.61</v>
      </c>
      <c r="G23" s="18">
        <v>0.56000000000000005</v>
      </c>
      <c r="H23" s="18">
        <v>0.52400000000000002</v>
      </c>
      <c r="I23" s="18">
        <v>0.497</v>
      </c>
      <c r="J23" s="18">
        <v>0.47699999999999998</v>
      </c>
      <c r="K23" s="18">
        <v>0.46</v>
      </c>
      <c r="L23" s="18">
        <v>0.44700000000000001</v>
      </c>
      <c r="M23" s="18">
        <v>0.435</v>
      </c>
      <c r="N23" s="18">
        <v>0.42499999999999999</v>
      </c>
      <c r="O23" s="18">
        <v>0.41799999999999998</v>
      </c>
      <c r="P23" s="18">
        <v>0.41</v>
      </c>
      <c r="Q23" s="18">
        <v>0.40100000000000002</v>
      </c>
      <c r="R23" s="27">
        <v>0.39500000000000002</v>
      </c>
      <c r="U23" s="69">
        <v>2</v>
      </c>
      <c r="V23" s="70">
        <f>$U23*LINEST(V$24:V$26,$U$24:$U$26,,)+INDEX(LINEST(V$24:V$26,$U$24:$U$26,,),2)</f>
        <v>0.82666666666666655</v>
      </c>
      <c r="W23" s="70">
        <f>$U23*LINEST(W$24:W$26,$U$24:$U$26,,)+INDEX(LINEST(W$24:W$26,$U$24:$U$26,,),2)</f>
        <v>0.71999999999999986</v>
      </c>
      <c r="X23" s="70">
        <f t="shared" si="20"/>
        <v>0.63866666666666672</v>
      </c>
      <c r="Y23" s="70">
        <f t="shared" si="20"/>
        <v>0.57633333333333325</v>
      </c>
      <c r="Z23" s="70">
        <f t="shared" si="20"/>
        <v>0.54233333333333344</v>
      </c>
      <c r="AA23" s="70">
        <f t="shared" si="20"/>
        <v>0.51500000000000001</v>
      </c>
      <c r="AB23" s="70">
        <f t="shared" si="20"/>
        <v>0.4966666666666667</v>
      </c>
      <c r="AC23" s="70">
        <f t="shared" si="20"/>
        <v>0.47833333333333328</v>
      </c>
      <c r="AD23" s="70">
        <f t="shared" si="20"/>
        <v>0.46333333333333332</v>
      </c>
      <c r="AE23" s="70">
        <f t="shared" si="20"/>
        <v>0.45133333333333331</v>
      </c>
      <c r="AF23" s="70">
        <f t="shared" si="20"/>
        <v>0.44166666666666671</v>
      </c>
      <c r="AG23" s="70">
        <f t="shared" si="20"/>
        <v>0.4326666666666667</v>
      </c>
      <c r="AH23" s="70">
        <f t="shared" si="20"/>
        <v>0.42499999999999999</v>
      </c>
      <c r="AI23" s="70">
        <f t="shared" si="20"/>
        <v>0.41799999999999998</v>
      </c>
      <c r="AJ23" s="70">
        <f t="shared" si="20"/>
        <v>0.41000000000000009</v>
      </c>
    </row>
    <row r="24" spans="1:36" x14ac:dyDescent="0.25">
      <c r="A24" s="2144">
        <v>6</v>
      </c>
      <c r="B24" s="2151">
        <v>2</v>
      </c>
      <c r="C24" s="15">
        <v>1</v>
      </c>
      <c r="D24" s="16">
        <v>1</v>
      </c>
      <c r="E24" s="16">
        <v>0.91800000000000004</v>
      </c>
      <c r="F24" s="16">
        <v>0.85799999999999998</v>
      </c>
      <c r="G24" s="16">
        <v>0.80800000000000005</v>
      </c>
      <c r="H24" s="16">
        <v>0.77</v>
      </c>
      <c r="I24" s="16">
        <v>0.74099999999999999</v>
      </c>
      <c r="J24" s="16">
        <v>0.72</v>
      </c>
      <c r="K24" s="16">
        <v>0.70099999999999996</v>
      </c>
      <c r="L24" s="16">
        <v>0.68799999999999994</v>
      </c>
      <c r="M24" s="16">
        <v>0.67700000000000005</v>
      </c>
      <c r="N24" s="16">
        <v>0.66700000000000004</v>
      </c>
      <c r="O24" s="16">
        <v>0.65800000000000003</v>
      </c>
      <c r="P24" s="16">
        <v>0.65</v>
      </c>
      <c r="Q24" s="16">
        <v>0.64100000000000001</v>
      </c>
      <c r="R24" s="33">
        <v>0.63500000000000001</v>
      </c>
      <c r="U24" s="69">
        <v>3</v>
      </c>
      <c r="V24" s="71">
        <f>D15</f>
        <v>0.82</v>
      </c>
      <c r="W24" s="71">
        <f>E15</f>
        <v>0.71</v>
      </c>
      <c r="X24" s="71">
        <f t="shared" ref="X24:AJ24" si="21">F15</f>
        <v>0.629</v>
      </c>
      <c r="Y24" s="71">
        <f t="shared" si="21"/>
        <v>0.57099999999999995</v>
      </c>
      <c r="Z24" s="71">
        <f t="shared" si="21"/>
        <v>0.53600000000000003</v>
      </c>
      <c r="AA24" s="71">
        <f t="shared" si="21"/>
        <v>0.50900000000000001</v>
      </c>
      <c r="AB24" s="71">
        <f t="shared" si="21"/>
        <v>0.49</v>
      </c>
      <c r="AC24" s="71">
        <f t="shared" si="21"/>
        <v>0.47199999999999998</v>
      </c>
      <c r="AD24" s="71">
        <f t="shared" si="21"/>
        <v>0.45800000000000002</v>
      </c>
      <c r="AE24" s="71">
        <f t="shared" si="21"/>
        <v>0.44600000000000001</v>
      </c>
      <c r="AF24" s="71">
        <f t="shared" si="21"/>
        <v>0.436</v>
      </c>
      <c r="AG24" s="71">
        <f t="shared" si="21"/>
        <v>0.42799999999999999</v>
      </c>
      <c r="AH24" s="71">
        <f t="shared" si="21"/>
        <v>0.42</v>
      </c>
      <c r="AI24" s="71">
        <f t="shared" si="21"/>
        <v>0.41199999999999998</v>
      </c>
      <c r="AJ24" s="71">
        <f t="shared" si="21"/>
        <v>0.40500000000000003</v>
      </c>
    </row>
    <row r="25" spans="1:36" x14ac:dyDescent="0.25">
      <c r="A25" s="2144"/>
      <c r="B25" s="2152"/>
      <c r="C25" s="10">
        <v>2</v>
      </c>
      <c r="D25" s="11">
        <v>0.92</v>
      </c>
      <c r="E25" s="11">
        <v>0.8</v>
      </c>
      <c r="F25" s="11">
        <v>0.72299999999999998</v>
      </c>
      <c r="G25" s="11">
        <v>0.68</v>
      </c>
      <c r="H25" s="11">
        <v>0.64800000000000002</v>
      </c>
      <c r="I25" s="11">
        <v>0.623</v>
      </c>
      <c r="J25" s="11">
        <v>0.60199999999999998</v>
      </c>
      <c r="K25" s="11">
        <v>0.58599999999999997</v>
      </c>
      <c r="L25" s="11">
        <v>0.57199999999999995</v>
      </c>
      <c r="M25" s="11">
        <v>0.56000000000000005</v>
      </c>
      <c r="N25" s="11">
        <v>0.54900000000000004</v>
      </c>
      <c r="O25" s="11">
        <v>0.54</v>
      </c>
      <c r="P25" s="11">
        <v>0.53</v>
      </c>
      <c r="Q25" s="11">
        <v>0.52200000000000002</v>
      </c>
      <c r="R25" s="26">
        <v>0.51400000000000001</v>
      </c>
      <c r="U25" s="69">
        <v>4</v>
      </c>
      <c r="V25" s="71">
        <f>D19</f>
        <v>0.81</v>
      </c>
      <c r="W25" s="71">
        <f>E19</f>
        <v>0.7</v>
      </c>
      <c r="X25" s="71">
        <f t="shared" ref="X25:AJ25" si="22">F19</f>
        <v>0.62</v>
      </c>
      <c r="Y25" s="71">
        <f t="shared" si="22"/>
        <v>0.56499999999999995</v>
      </c>
      <c r="Z25" s="71">
        <f t="shared" si="22"/>
        <v>0.53100000000000003</v>
      </c>
      <c r="AA25" s="71">
        <f t="shared" si="22"/>
        <v>0.503</v>
      </c>
      <c r="AB25" s="71">
        <f t="shared" si="22"/>
        <v>0.48399999999999999</v>
      </c>
      <c r="AC25" s="71">
        <f t="shared" si="22"/>
        <v>0.46700000000000003</v>
      </c>
      <c r="AD25" s="71">
        <f t="shared" si="22"/>
        <v>0.45200000000000001</v>
      </c>
      <c r="AE25" s="71">
        <f t="shared" si="22"/>
        <v>0.44</v>
      </c>
      <c r="AF25" s="71">
        <f t="shared" si="22"/>
        <v>0.43099999999999999</v>
      </c>
      <c r="AG25" s="71">
        <f t="shared" si="22"/>
        <v>0.42199999999999999</v>
      </c>
      <c r="AH25" s="71">
        <f t="shared" si="22"/>
        <v>0.41499999999999998</v>
      </c>
      <c r="AI25" s="71">
        <f t="shared" si="22"/>
        <v>0.40799999999999997</v>
      </c>
      <c r="AJ25" s="71">
        <f t="shared" si="22"/>
        <v>0.4</v>
      </c>
    </row>
    <row r="26" spans="1:36" x14ac:dyDescent="0.25">
      <c r="A26" s="2144"/>
      <c r="B26" s="2152"/>
      <c r="C26" s="12">
        <v>3</v>
      </c>
      <c r="D26" s="13">
        <v>0.84</v>
      </c>
      <c r="E26" s="11">
        <v>0.72299999999999998</v>
      </c>
      <c r="F26" s="11">
        <v>0.65700000000000003</v>
      </c>
      <c r="G26" s="11">
        <v>0.60799999999999998</v>
      </c>
      <c r="H26" s="11">
        <v>0.56799999999999995</v>
      </c>
      <c r="I26" s="11">
        <v>0.54</v>
      </c>
      <c r="J26" s="11">
        <v>0.52</v>
      </c>
      <c r="K26" s="11">
        <v>0.504</v>
      </c>
      <c r="L26" s="11">
        <v>0.49</v>
      </c>
      <c r="M26" s="11">
        <v>0.47899999999999998</v>
      </c>
      <c r="N26" s="11">
        <v>0.47</v>
      </c>
      <c r="O26" s="11">
        <v>0.46100000000000002</v>
      </c>
      <c r="P26" s="11">
        <v>0.45400000000000001</v>
      </c>
      <c r="Q26" s="11">
        <v>0.44700000000000001</v>
      </c>
      <c r="R26" s="26">
        <v>0.44</v>
      </c>
      <c r="U26" s="69">
        <v>5</v>
      </c>
      <c r="V26" s="71">
        <f>D23</f>
        <v>0.80500000000000005</v>
      </c>
      <c r="W26" s="71">
        <f>E23</f>
        <v>0.69</v>
      </c>
      <c r="X26" s="71">
        <f t="shared" ref="X26:AJ26" si="23">F23</f>
        <v>0.61</v>
      </c>
      <c r="Y26" s="71">
        <f t="shared" si="23"/>
        <v>0.56000000000000005</v>
      </c>
      <c r="Z26" s="71">
        <f t="shared" si="23"/>
        <v>0.52400000000000002</v>
      </c>
      <c r="AA26" s="71">
        <f t="shared" si="23"/>
        <v>0.497</v>
      </c>
      <c r="AB26" s="71">
        <f t="shared" si="23"/>
        <v>0.47699999999999998</v>
      </c>
      <c r="AC26" s="71">
        <f t="shared" si="23"/>
        <v>0.46</v>
      </c>
      <c r="AD26" s="71">
        <f t="shared" si="23"/>
        <v>0.44700000000000001</v>
      </c>
      <c r="AE26" s="71">
        <f t="shared" si="23"/>
        <v>0.435</v>
      </c>
      <c r="AF26" s="71">
        <f t="shared" si="23"/>
        <v>0.42499999999999999</v>
      </c>
      <c r="AG26" s="71">
        <f t="shared" si="23"/>
        <v>0.41799999999999998</v>
      </c>
      <c r="AH26" s="71">
        <f t="shared" si="23"/>
        <v>0.41</v>
      </c>
      <c r="AI26" s="71">
        <f t="shared" si="23"/>
        <v>0.40100000000000002</v>
      </c>
      <c r="AJ26" s="71">
        <f t="shared" si="23"/>
        <v>0.39500000000000002</v>
      </c>
    </row>
    <row r="27" spans="1:36" ht="13.8" thickBot="1" x14ac:dyDescent="0.3">
      <c r="A27" s="2145"/>
      <c r="B27" s="2153"/>
      <c r="C27" s="19">
        <v>4</v>
      </c>
      <c r="D27" s="20">
        <v>0.8</v>
      </c>
      <c r="E27" s="18">
        <v>0.68500000000000005</v>
      </c>
      <c r="F27" s="18">
        <v>0.60799999999999998</v>
      </c>
      <c r="G27" s="18">
        <v>0.55300000000000005</v>
      </c>
      <c r="H27" s="18">
        <v>0.51800000000000002</v>
      </c>
      <c r="I27" s="18">
        <v>0.49</v>
      </c>
      <c r="J27" s="18">
        <v>0.47099999999999997</v>
      </c>
      <c r="K27" s="18">
        <v>0.45300000000000001</v>
      </c>
      <c r="L27" s="18">
        <v>0.44</v>
      </c>
      <c r="M27" s="18">
        <v>0.42899999999999999</v>
      </c>
      <c r="N27" s="18">
        <v>0.42</v>
      </c>
      <c r="O27" s="18">
        <v>0.41099999999999998</v>
      </c>
      <c r="P27" s="18">
        <v>0.40200000000000002</v>
      </c>
      <c r="Q27" s="18">
        <v>0.39500000000000002</v>
      </c>
      <c r="R27" s="27">
        <v>0.39</v>
      </c>
    </row>
    <row r="28" spans="1:36" x14ac:dyDescent="0.25">
      <c r="A28" s="2144">
        <v>7</v>
      </c>
      <c r="B28" s="2147">
        <v>1</v>
      </c>
      <c r="C28" s="15">
        <v>1</v>
      </c>
      <c r="D28" s="16">
        <v>1</v>
      </c>
      <c r="E28" s="16">
        <v>0.91800000000000004</v>
      </c>
      <c r="F28" s="16">
        <v>0.84899999999999998</v>
      </c>
      <c r="G28" s="16">
        <v>0.79900000000000004</v>
      </c>
      <c r="H28" s="16">
        <v>0.753</v>
      </c>
      <c r="I28" s="16">
        <v>0.72099999999999997</v>
      </c>
      <c r="J28" s="16">
        <v>0.69899999999999995</v>
      </c>
      <c r="K28" s="16">
        <v>0.68200000000000005</v>
      </c>
      <c r="L28" s="16">
        <v>0.66900000000000004</v>
      </c>
      <c r="M28" s="16">
        <v>0.65900000000000003</v>
      </c>
      <c r="N28" s="16">
        <v>0.65</v>
      </c>
      <c r="O28" s="16">
        <v>0.64300000000000002</v>
      </c>
      <c r="P28" s="16">
        <v>0.63900000000000001</v>
      </c>
      <c r="Q28" s="16">
        <v>0.63200000000000001</v>
      </c>
      <c r="R28" s="33">
        <v>0.63</v>
      </c>
    </row>
    <row r="29" spans="1:36" x14ac:dyDescent="0.25">
      <c r="A29" s="2144"/>
      <c r="B29" s="2148"/>
      <c r="C29" s="10">
        <v>2</v>
      </c>
      <c r="D29" s="11">
        <v>0.92</v>
      </c>
      <c r="E29" s="11">
        <v>0.79500000000000004</v>
      </c>
      <c r="F29" s="11">
        <v>0.70199999999999996</v>
      </c>
      <c r="G29" s="11">
        <v>0.65</v>
      </c>
      <c r="H29" s="11">
        <v>0.61299999999999999</v>
      </c>
      <c r="I29" s="11">
        <v>0.58299999999999996</v>
      </c>
      <c r="J29" s="11">
        <v>0.56299999999999994</v>
      </c>
      <c r="K29" s="11">
        <v>0.54600000000000004</v>
      </c>
      <c r="L29" s="11">
        <v>0.53</v>
      </c>
      <c r="M29" s="11">
        <v>0.52</v>
      </c>
      <c r="N29" s="11">
        <v>0.51</v>
      </c>
      <c r="O29" s="11">
        <v>0.502</v>
      </c>
      <c r="P29" s="11">
        <v>0.49399999999999999</v>
      </c>
      <c r="Q29" s="11">
        <v>0.48799999999999999</v>
      </c>
      <c r="R29" s="26">
        <v>0.48199999999999998</v>
      </c>
    </row>
    <row r="30" spans="1:36" x14ac:dyDescent="0.25">
      <c r="A30" s="2144"/>
      <c r="B30" s="2148"/>
      <c r="C30" s="10">
        <v>3</v>
      </c>
      <c r="D30" s="11">
        <v>0.83</v>
      </c>
      <c r="E30" s="11">
        <v>0.70199999999999996</v>
      </c>
      <c r="F30" s="11">
        <v>0.61799999999999999</v>
      </c>
      <c r="G30" s="11">
        <v>0.56200000000000006</v>
      </c>
      <c r="H30" s="11">
        <v>0.52500000000000002</v>
      </c>
      <c r="I30" s="11">
        <v>0.5</v>
      </c>
      <c r="J30" s="11">
        <v>0.48</v>
      </c>
      <c r="K30" s="11">
        <v>0.46400000000000002</v>
      </c>
      <c r="L30" s="11">
        <v>0.45</v>
      </c>
      <c r="M30" s="11">
        <v>0.44</v>
      </c>
      <c r="N30" s="11">
        <v>0.43</v>
      </c>
      <c r="O30" s="11">
        <v>0.42099999999999999</v>
      </c>
      <c r="P30" s="11">
        <v>0.41299999999999998</v>
      </c>
      <c r="Q30" s="11">
        <v>0.40600000000000003</v>
      </c>
      <c r="R30" s="26">
        <v>0.4</v>
      </c>
    </row>
    <row r="31" spans="1:36" ht="13.8" thickBot="1" x14ac:dyDescent="0.3">
      <c r="A31" s="2144"/>
      <c r="B31" s="2154"/>
      <c r="C31" s="21">
        <v>4</v>
      </c>
      <c r="D31" s="22">
        <v>0.74</v>
      </c>
      <c r="E31" s="22">
        <v>0.63400000000000001</v>
      </c>
      <c r="F31" s="22">
        <v>0.55100000000000005</v>
      </c>
      <c r="G31" s="22">
        <v>0.497</v>
      </c>
      <c r="H31" s="22">
        <v>0.46500000000000002</v>
      </c>
      <c r="I31" s="22">
        <v>0.44</v>
      </c>
      <c r="J31" s="22">
        <v>0.42099999999999999</v>
      </c>
      <c r="K31" s="22">
        <v>0.40500000000000003</v>
      </c>
      <c r="L31" s="22">
        <v>0.39200000000000002</v>
      </c>
      <c r="M31" s="22">
        <v>0.38300000000000001</v>
      </c>
      <c r="N31" s="22">
        <v>0.374</v>
      </c>
      <c r="O31" s="22">
        <v>0.36599999999999999</v>
      </c>
      <c r="P31" s="22">
        <v>0.35899999999999999</v>
      </c>
      <c r="Q31" s="22">
        <v>0.35199999999999998</v>
      </c>
      <c r="R31" s="34">
        <v>0.34799999999999998</v>
      </c>
    </row>
    <row r="32" spans="1:36" x14ac:dyDescent="0.25">
      <c r="A32" s="2146">
        <v>8</v>
      </c>
      <c r="B32" s="2150" t="s">
        <v>662</v>
      </c>
      <c r="C32" s="23">
        <v>1</v>
      </c>
      <c r="D32" s="24">
        <v>1</v>
      </c>
      <c r="E32" s="24">
        <v>0.91</v>
      </c>
      <c r="F32" s="24">
        <v>0.84199999999999997</v>
      </c>
      <c r="G32" s="24">
        <v>0.79100000000000004</v>
      </c>
      <c r="H32" s="24">
        <v>0.745</v>
      </c>
      <c r="I32" s="24">
        <v>0.71599999999999997</v>
      </c>
      <c r="J32" s="24">
        <v>0.69399999999999995</v>
      </c>
      <c r="K32" s="24">
        <v>0.67800000000000005</v>
      </c>
      <c r="L32" s="24">
        <v>0.66500000000000004</v>
      </c>
      <c r="M32" s="24">
        <v>0.65500000000000003</v>
      </c>
      <c r="N32" s="24">
        <v>0.64600000000000002</v>
      </c>
      <c r="O32" s="24">
        <v>0.63900000000000001</v>
      </c>
      <c r="P32" s="24">
        <v>0.63500000000000001</v>
      </c>
      <c r="Q32" s="24">
        <v>0.628</v>
      </c>
      <c r="R32" s="25">
        <v>0.626</v>
      </c>
    </row>
    <row r="33" spans="1:18" x14ac:dyDescent="0.25">
      <c r="A33" s="2144"/>
      <c r="B33" s="2148"/>
      <c r="C33" s="10">
        <v>2</v>
      </c>
      <c r="D33" s="11">
        <v>0.91500000000000004</v>
      </c>
      <c r="E33" s="11">
        <v>0.79</v>
      </c>
      <c r="F33" s="11">
        <v>0.7</v>
      </c>
      <c r="G33" s="11">
        <v>0.64200000000000002</v>
      </c>
      <c r="H33" s="11">
        <v>0.60399999999999998</v>
      </c>
      <c r="I33" s="11">
        <v>0.57499999999999996</v>
      </c>
      <c r="J33" s="11">
        <v>0.55500000000000005</v>
      </c>
      <c r="K33" s="11">
        <v>0.53700000000000003</v>
      </c>
      <c r="L33" s="11">
        <v>0.52300000000000002</v>
      </c>
      <c r="M33" s="11">
        <v>0.51100000000000001</v>
      </c>
      <c r="N33" s="11">
        <v>0.503</v>
      </c>
      <c r="O33" s="11">
        <v>0.49399999999999999</v>
      </c>
      <c r="P33" s="11">
        <v>0.48599999999999999</v>
      </c>
      <c r="Q33" s="11">
        <v>0.48</v>
      </c>
      <c r="R33" s="26">
        <v>0.47499999999999998</v>
      </c>
    </row>
    <row r="34" spans="1:18" x14ac:dyDescent="0.25">
      <c r="A34" s="2144"/>
      <c r="B34" s="2148"/>
      <c r="C34" s="10">
        <v>3</v>
      </c>
      <c r="D34" s="11">
        <v>0.81699999999999995</v>
      </c>
      <c r="E34" s="11">
        <v>0.7</v>
      </c>
      <c r="F34" s="11">
        <v>0.61</v>
      </c>
      <c r="G34" s="11">
        <v>0.55400000000000005</v>
      </c>
      <c r="H34" s="11">
        <v>0.52</v>
      </c>
      <c r="I34" s="11">
        <v>0.49399999999999999</v>
      </c>
      <c r="J34" s="11">
        <v>0.47399999999999998</v>
      </c>
      <c r="K34" s="11">
        <v>0.45700000000000002</v>
      </c>
      <c r="L34" s="11">
        <v>0.44400000000000001</v>
      </c>
      <c r="M34" s="11">
        <v>0.432</v>
      </c>
      <c r="N34" s="11">
        <v>0.42399999999999999</v>
      </c>
      <c r="O34" s="11">
        <v>0.41499999999999998</v>
      </c>
      <c r="P34" s="11">
        <v>0.40799999999999997</v>
      </c>
      <c r="Q34" s="11">
        <v>0.4</v>
      </c>
      <c r="R34" s="26">
        <v>0.39400000000000002</v>
      </c>
    </row>
    <row r="35" spans="1:18" ht="13.8" thickBot="1" x14ac:dyDescent="0.3">
      <c r="A35" s="2145"/>
      <c r="B35" s="2149"/>
      <c r="C35" s="17">
        <v>4</v>
      </c>
      <c r="D35" s="18">
        <v>0.73499999999999999</v>
      </c>
      <c r="E35" s="18">
        <v>0.629</v>
      </c>
      <c r="F35" s="18">
        <v>0.54600000000000004</v>
      </c>
      <c r="G35" s="18">
        <v>0.49199999999999999</v>
      </c>
      <c r="H35" s="18">
        <v>0.46</v>
      </c>
      <c r="I35" s="18">
        <v>0.435</v>
      </c>
      <c r="J35" s="18">
        <v>0.41699999999999998</v>
      </c>
      <c r="K35" s="18">
        <v>0.40200000000000002</v>
      </c>
      <c r="L35" s="18">
        <v>0.39100000000000001</v>
      </c>
      <c r="M35" s="18">
        <v>0.38100000000000001</v>
      </c>
      <c r="N35" s="18">
        <v>0.371</v>
      </c>
      <c r="O35" s="18">
        <v>0.36299999999999999</v>
      </c>
      <c r="P35" s="18">
        <v>0.35499999999999998</v>
      </c>
      <c r="Q35" s="18">
        <v>0.34899999999999998</v>
      </c>
      <c r="R35" s="27">
        <v>0.34300000000000003</v>
      </c>
    </row>
    <row r="36" spans="1:18" x14ac:dyDescent="0.25">
      <c r="A36" s="2144">
        <v>9</v>
      </c>
      <c r="B36" s="2147" t="s">
        <v>665</v>
      </c>
      <c r="C36" s="15">
        <v>1</v>
      </c>
      <c r="D36" s="16">
        <v>1</v>
      </c>
      <c r="E36" s="16">
        <v>0.91</v>
      </c>
      <c r="F36" s="16">
        <v>0.84199999999999997</v>
      </c>
      <c r="G36" s="16">
        <v>0.79100000000000004</v>
      </c>
      <c r="H36" s="16">
        <v>0.745</v>
      </c>
      <c r="I36" s="16">
        <v>0.71599999999999997</v>
      </c>
      <c r="J36" s="16">
        <v>0.69399999999999995</v>
      </c>
      <c r="K36" s="16">
        <v>0.67800000000000005</v>
      </c>
      <c r="L36" s="16">
        <v>0.66500000000000004</v>
      </c>
      <c r="M36" s="16">
        <v>0.65500000000000003</v>
      </c>
      <c r="N36" s="16">
        <v>0.64600000000000002</v>
      </c>
      <c r="O36" s="16">
        <v>0.63900000000000001</v>
      </c>
      <c r="P36" s="16">
        <v>0.63500000000000001</v>
      </c>
      <c r="Q36" s="16">
        <v>0.628</v>
      </c>
      <c r="R36" s="33">
        <v>0.626</v>
      </c>
    </row>
    <row r="37" spans="1:18" x14ac:dyDescent="0.25">
      <c r="A37" s="2144"/>
      <c r="B37" s="2148"/>
      <c r="C37" s="10">
        <v>2</v>
      </c>
      <c r="D37" s="11">
        <v>0.91500000000000004</v>
      </c>
      <c r="E37" s="11">
        <v>0.79</v>
      </c>
      <c r="F37" s="11">
        <v>0.7</v>
      </c>
      <c r="G37" s="11">
        <v>0.64200000000000002</v>
      </c>
      <c r="H37" s="11">
        <v>0.60399999999999998</v>
      </c>
      <c r="I37" s="11">
        <v>0.57499999999999996</v>
      </c>
      <c r="J37" s="11">
        <v>0.55500000000000005</v>
      </c>
      <c r="K37" s="11">
        <v>0.53700000000000003</v>
      </c>
      <c r="L37" s="11">
        <v>0.52300000000000002</v>
      </c>
      <c r="M37" s="11">
        <v>0.51100000000000001</v>
      </c>
      <c r="N37" s="11">
        <v>0.503</v>
      </c>
      <c r="O37" s="11">
        <v>0.49399999999999999</v>
      </c>
      <c r="P37" s="11">
        <v>0.48599999999999999</v>
      </c>
      <c r="Q37" s="11">
        <v>0.48</v>
      </c>
      <c r="R37" s="26">
        <v>0.47499999999999998</v>
      </c>
    </row>
    <row r="38" spans="1:18" x14ac:dyDescent="0.25">
      <c r="A38" s="2144"/>
      <c r="B38" s="2148"/>
      <c r="C38" s="10">
        <v>3</v>
      </c>
      <c r="D38" s="11">
        <v>0.81699999999999995</v>
      </c>
      <c r="E38" s="11">
        <v>0.7</v>
      </c>
      <c r="F38" s="11">
        <v>0.61</v>
      </c>
      <c r="G38" s="11">
        <v>0.55400000000000005</v>
      </c>
      <c r="H38" s="11">
        <v>0.52</v>
      </c>
      <c r="I38" s="11">
        <v>0.49399999999999999</v>
      </c>
      <c r="J38" s="11">
        <v>0.47399999999999998</v>
      </c>
      <c r="K38" s="11">
        <v>0.45700000000000002</v>
      </c>
      <c r="L38" s="11">
        <v>0.44400000000000001</v>
      </c>
      <c r="M38" s="11">
        <v>0.432</v>
      </c>
      <c r="N38" s="11">
        <v>0.42399999999999999</v>
      </c>
      <c r="O38" s="11">
        <v>0.41499999999999998</v>
      </c>
      <c r="P38" s="11">
        <v>0.40799999999999997</v>
      </c>
      <c r="Q38" s="11">
        <v>0.4</v>
      </c>
      <c r="R38" s="26">
        <v>0.39400000000000002</v>
      </c>
    </row>
    <row r="39" spans="1:18" ht="13.8" thickBot="1" x14ac:dyDescent="0.3">
      <c r="A39" s="2144"/>
      <c r="B39" s="2154"/>
      <c r="C39" s="21">
        <v>4</v>
      </c>
      <c r="D39" s="22">
        <v>0.73499999999999999</v>
      </c>
      <c r="E39" s="22">
        <v>0.629</v>
      </c>
      <c r="F39" s="22">
        <v>0.54600000000000004</v>
      </c>
      <c r="G39" s="22">
        <v>0.49199999999999999</v>
      </c>
      <c r="H39" s="22">
        <v>0.46</v>
      </c>
      <c r="I39" s="22">
        <v>0.435</v>
      </c>
      <c r="J39" s="22">
        <v>0.41699999999999998</v>
      </c>
      <c r="K39" s="22">
        <v>0.40200000000000002</v>
      </c>
      <c r="L39" s="22">
        <v>0.39100000000000001</v>
      </c>
      <c r="M39" s="22">
        <v>0.38100000000000001</v>
      </c>
      <c r="N39" s="22">
        <v>0.371</v>
      </c>
      <c r="O39" s="22">
        <v>0.36299999999999999</v>
      </c>
      <c r="P39" s="22">
        <v>0.35499999999999998</v>
      </c>
      <c r="Q39" s="22">
        <v>0.34899999999999998</v>
      </c>
      <c r="R39" s="34">
        <v>0.34300000000000003</v>
      </c>
    </row>
    <row r="40" spans="1:18" x14ac:dyDescent="0.25">
      <c r="A40" s="2146">
        <v>10</v>
      </c>
      <c r="B40" s="2150" t="s">
        <v>668</v>
      </c>
      <c r="C40" s="23">
        <v>1</v>
      </c>
      <c r="D40" s="24">
        <v>1</v>
      </c>
      <c r="E40" s="24">
        <v>0.91</v>
      </c>
      <c r="F40" s="24">
        <v>0.84199999999999997</v>
      </c>
      <c r="G40" s="24">
        <v>0.79100000000000004</v>
      </c>
      <c r="H40" s="24">
        <v>0.745</v>
      </c>
      <c r="I40" s="24">
        <v>0.71599999999999997</v>
      </c>
      <c r="J40" s="24">
        <v>0.69399999999999995</v>
      </c>
      <c r="K40" s="24">
        <v>0.67800000000000005</v>
      </c>
      <c r="L40" s="24">
        <v>0.66500000000000004</v>
      </c>
      <c r="M40" s="24">
        <v>0.65500000000000003</v>
      </c>
      <c r="N40" s="24">
        <v>0.64600000000000002</v>
      </c>
      <c r="O40" s="24">
        <v>0.63900000000000001</v>
      </c>
      <c r="P40" s="24">
        <v>0.63500000000000001</v>
      </c>
      <c r="Q40" s="24">
        <v>0.628</v>
      </c>
      <c r="R40" s="25">
        <v>0.626</v>
      </c>
    </row>
    <row r="41" spans="1:18" x14ac:dyDescent="0.25">
      <c r="A41" s="2144"/>
      <c r="B41" s="2148"/>
      <c r="C41" s="10">
        <v>2</v>
      </c>
      <c r="D41" s="11">
        <v>0.91500000000000004</v>
      </c>
      <c r="E41" s="11">
        <v>0.79</v>
      </c>
      <c r="F41" s="11">
        <v>0.7</v>
      </c>
      <c r="G41" s="11">
        <v>0.64200000000000002</v>
      </c>
      <c r="H41" s="11">
        <v>0.60399999999999998</v>
      </c>
      <c r="I41" s="11">
        <v>0.57499999999999996</v>
      </c>
      <c r="J41" s="11">
        <v>0.55500000000000005</v>
      </c>
      <c r="K41" s="11">
        <v>0.53700000000000003</v>
      </c>
      <c r="L41" s="11">
        <v>0.52300000000000002</v>
      </c>
      <c r="M41" s="11">
        <v>0.51100000000000001</v>
      </c>
      <c r="N41" s="11">
        <v>0.503</v>
      </c>
      <c r="O41" s="11">
        <v>0.49399999999999999</v>
      </c>
      <c r="P41" s="11">
        <v>0.48599999999999999</v>
      </c>
      <c r="Q41" s="11">
        <v>0.48</v>
      </c>
      <c r="R41" s="26">
        <v>0.47499999999999998</v>
      </c>
    </row>
    <row r="42" spans="1:18" x14ac:dyDescent="0.25">
      <c r="A42" s="2144"/>
      <c r="B42" s="2148"/>
      <c r="C42" s="10">
        <v>3</v>
      </c>
      <c r="D42" s="11">
        <v>0.81699999999999995</v>
      </c>
      <c r="E42" s="11">
        <v>0.7</v>
      </c>
      <c r="F42" s="11">
        <v>0.61</v>
      </c>
      <c r="G42" s="11">
        <v>0.55400000000000005</v>
      </c>
      <c r="H42" s="11">
        <v>0.52</v>
      </c>
      <c r="I42" s="11">
        <v>0.49399999999999999</v>
      </c>
      <c r="J42" s="11">
        <v>0.47399999999999998</v>
      </c>
      <c r="K42" s="11">
        <v>0.45700000000000002</v>
      </c>
      <c r="L42" s="11">
        <v>0.44400000000000001</v>
      </c>
      <c r="M42" s="11">
        <v>0.432</v>
      </c>
      <c r="N42" s="11">
        <v>0.42399999999999999</v>
      </c>
      <c r="O42" s="11">
        <v>0.41499999999999998</v>
      </c>
      <c r="P42" s="11">
        <v>0.40799999999999997</v>
      </c>
      <c r="Q42" s="11">
        <v>0.4</v>
      </c>
      <c r="R42" s="26">
        <v>0.39400000000000002</v>
      </c>
    </row>
    <row r="43" spans="1:18" ht="13.8" thickBot="1" x14ac:dyDescent="0.3">
      <c r="A43" s="2145"/>
      <c r="B43" s="2149"/>
      <c r="C43" s="17">
        <v>4</v>
      </c>
      <c r="D43" s="18">
        <v>0.73499999999999999</v>
      </c>
      <c r="E43" s="18">
        <v>0.629</v>
      </c>
      <c r="F43" s="18">
        <v>0.54600000000000004</v>
      </c>
      <c r="G43" s="18">
        <v>0.49199999999999999</v>
      </c>
      <c r="H43" s="18">
        <v>0.46</v>
      </c>
      <c r="I43" s="18">
        <v>0.435</v>
      </c>
      <c r="J43" s="18">
        <v>0.41699999999999998</v>
      </c>
      <c r="K43" s="18">
        <v>0.40200000000000002</v>
      </c>
      <c r="L43" s="18">
        <v>0.39100000000000001</v>
      </c>
      <c r="M43" s="18">
        <v>0.38100000000000001</v>
      </c>
      <c r="N43" s="18">
        <v>0.371</v>
      </c>
      <c r="O43" s="18">
        <v>0.36299999999999999</v>
      </c>
      <c r="P43" s="18">
        <v>0.35499999999999998</v>
      </c>
      <c r="Q43" s="18">
        <v>0.34899999999999998</v>
      </c>
      <c r="R43" s="27">
        <v>0.34300000000000003</v>
      </c>
    </row>
    <row r="44" spans="1:18" x14ac:dyDescent="0.25">
      <c r="A44" s="2144">
        <v>11</v>
      </c>
      <c r="B44" s="2147" t="s">
        <v>671</v>
      </c>
      <c r="C44" s="15">
        <v>1</v>
      </c>
      <c r="D44" s="16">
        <v>1</v>
      </c>
      <c r="E44" s="16">
        <v>0.90800000000000003</v>
      </c>
      <c r="F44" s="16">
        <v>0.83</v>
      </c>
      <c r="G44" s="16">
        <v>0.78</v>
      </c>
      <c r="H44" s="16">
        <v>0.73699999999999999</v>
      </c>
      <c r="I44" s="16">
        <v>0.70899999999999996</v>
      </c>
      <c r="J44" s="16">
        <v>0.69</v>
      </c>
      <c r="K44" s="16">
        <v>0.67300000000000004</v>
      </c>
      <c r="L44" s="16">
        <v>0.66</v>
      </c>
      <c r="M44" s="16">
        <v>0.65</v>
      </c>
      <c r="N44" s="16">
        <v>0.64200000000000002</v>
      </c>
      <c r="O44" s="16">
        <v>0.63500000000000001</v>
      </c>
      <c r="P44" s="16">
        <v>0.628</v>
      </c>
      <c r="Q44" s="16">
        <v>0.623</v>
      </c>
      <c r="R44" s="33">
        <v>0.61899999999999999</v>
      </c>
    </row>
    <row r="45" spans="1:18" x14ac:dyDescent="0.25">
      <c r="A45" s="2144"/>
      <c r="B45" s="2148"/>
      <c r="C45" s="10">
        <v>2</v>
      </c>
      <c r="D45" s="11">
        <v>0.91</v>
      </c>
      <c r="E45" s="11">
        <v>0.77</v>
      </c>
      <c r="F45" s="11">
        <v>0.68400000000000005</v>
      </c>
      <c r="G45" s="11">
        <v>0.63500000000000001</v>
      </c>
      <c r="H45" s="11">
        <v>0.59899999999999998</v>
      </c>
      <c r="I45" s="11">
        <v>0.56999999999999995</v>
      </c>
      <c r="J45" s="11">
        <v>0.55000000000000004</v>
      </c>
      <c r="K45" s="11">
        <v>0.53200000000000003</v>
      </c>
      <c r="L45" s="11">
        <v>0.51800000000000002</v>
      </c>
      <c r="M45" s="11">
        <v>0.50600000000000001</v>
      </c>
      <c r="N45" s="11">
        <v>0.498</v>
      </c>
      <c r="O45" s="11">
        <v>0.48899999999999999</v>
      </c>
      <c r="P45" s="11">
        <v>0.48099999999999998</v>
      </c>
      <c r="Q45" s="11">
        <v>0.47499999999999998</v>
      </c>
      <c r="R45" s="26">
        <v>0.47</v>
      </c>
    </row>
    <row r="46" spans="1:18" x14ac:dyDescent="0.25">
      <c r="A46" s="2144"/>
      <c r="B46" s="2148"/>
      <c r="C46" s="10">
        <v>3</v>
      </c>
      <c r="D46" s="11">
        <v>0.81</v>
      </c>
      <c r="E46" s="11">
        <v>0.68400000000000005</v>
      </c>
      <c r="F46" s="11">
        <v>0.60199999999999998</v>
      </c>
      <c r="G46" s="11">
        <v>0.54800000000000004</v>
      </c>
      <c r="H46" s="11">
        <v>0.51500000000000001</v>
      </c>
      <c r="I46" s="11">
        <v>0.48899999999999999</v>
      </c>
      <c r="J46" s="11">
        <v>0.46899999999999997</v>
      </c>
      <c r="K46" s="11">
        <v>0.45200000000000001</v>
      </c>
      <c r="L46" s="11">
        <v>0.44</v>
      </c>
      <c r="M46" s="11">
        <v>0.42899999999999999</v>
      </c>
      <c r="N46" s="11">
        <v>0.42</v>
      </c>
      <c r="O46" s="11">
        <v>0.41099999999999998</v>
      </c>
      <c r="P46" s="11">
        <v>0.40300000000000002</v>
      </c>
      <c r="Q46" s="11">
        <v>0.39700000000000002</v>
      </c>
      <c r="R46" s="26">
        <v>0.39100000000000001</v>
      </c>
    </row>
    <row r="47" spans="1:18" ht="13.8" thickBot="1" x14ac:dyDescent="0.3">
      <c r="A47" s="2144"/>
      <c r="B47" s="2154"/>
      <c r="C47" s="21">
        <v>4</v>
      </c>
      <c r="D47" s="22">
        <v>0.73</v>
      </c>
      <c r="E47" s="22">
        <v>0.624</v>
      </c>
      <c r="F47" s="22">
        <v>0.54100000000000004</v>
      </c>
      <c r="G47" s="22">
        <v>0.48699999999999999</v>
      </c>
      <c r="H47" s="22">
        <v>0.45600000000000002</v>
      </c>
      <c r="I47" s="22">
        <v>0.43099999999999999</v>
      </c>
      <c r="J47" s="22">
        <v>0.41399999999999998</v>
      </c>
      <c r="K47" s="22">
        <v>0.39900000000000002</v>
      </c>
      <c r="L47" s="22">
        <v>0.38800000000000001</v>
      </c>
      <c r="M47" s="22">
        <v>0.378</v>
      </c>
      <c r="N47" s="22">
        <v>0.36799999999999999</v>
      </c>
      <c r="O47" s="22">
        <v>0.36</v>
      </c>
      <c r="P47" s="22">
        <v>0.35199999999999998</v>
      </c>
      <c r="Q47" s="22">
        <v>0.34599999999999997</v>
      </c>
      <c r="R47" s="34">
        <v>0.34100000000000003</v>
      </c>
    </row>
    <row r="48" spans="1:18" x14ac:dyDescent="0.25">
      <c r="A48" s="2146">
        <v>12</v>
      </c>
      <c r="B48" s="2150">
        <v>250</v>
      </c>
      <c r="C48" s="23">
        <v>1</v>
      </c>
      <c r="D48" s="24">
        <v>1</v>
      </c>
      <c r="E48" s="24">
        <v>0.90500000000000003</v>
      </c>
      <c r="F48" s="24">
        <v>0.83</v>
      </c>
      <c r="G48" s="24">
        <v>0.77700000000000002</v>
      </c>
      <c r="H48" s="24">
        <v>0.72499999999999998</v>
      </c>
      <c r="I48" s="24">
        <v>0.69199999999999995</v>
      </c>
      <c r="J48" s="24">
        <v>0.66800000000000004</v>
      </c>
      <c r="K48" s="24">
        <v>0.64600000000000002</v>
      </c>
      <c r="L48" s="24">
        <v>0.628</v>
      </c>
      <c r="M48" s="24">
        <v>0.61499999999999999</v>
      </c>
      <c r="N48" s="24">
        <v>0.60299999999999998</v>
      </c>
      <c r="O48" s="24">
        <v>0.59699999999999998</v>
      </c>
      <c r="P48" s="24">
        <v>0.59</v>
      </c>
      <c r="Q48" s="24">
        <v>0.58299999999999996</v>
      </c>
      <c r="R48" s="25">
        <v>0.57999999999999996</v>
      </c>
    </row>
    <row r="49" spans="1:18" x14ac:dyDescent="0.25">
      <c r="A49" s="2144"/>
      <c r="B49" s="2148"/>
      <c r="C49" s="10">
        <v>2</v>
      </c>
      <c r="D49" s="11">
        <v>0.89</v>
      </c>
      <c r="E49" s="11">
        <v>0.77</v>
      </c>
      <c r="F49" s="11">
        <v>0.67500000000000004</v>
      </c>
      <c r="G49" s="11">
        <v>0.60899999999999999</v>
      </c>
      <c r="H49" s="11">
        <v>0.56999999999999995</v>
      </c>
      <c r="I49" s="11">
        <v>0.54200000000000004</v>
      </c>
      <c r="J49" s="11">
        <v>0.51900000000000002</v>
      </c>
      <c r="K49" s="11">
        <v>0.5</v>
      </c>
      <c r="L49" s="11">
        <v>0.48499999999999999</v>
      </c>
      <c r="M49" s="11">
        <v>0.47399999999999998</v>
      </c>
      <c r="N49" s="11">
        <v>0.46600000000000003</v>
      </c>
      <c r="O49" s="11">
        <v>0.45800000000000002</v>
      </c>
      <c r="P49" s="11">
        <v>0.45</v>
      </c>
      <c r="Q49" s="11">
        <v>0.44500000000000001</v>
      </c>
      <c r="R49" s="26">
        <v>0.44</v>
      </c>
    </row>
    <row r="50" spans="1:18" x14ac:dyDescent="0.25">
      <c r="A50" s="2144"/>
      <c r="B50" s="2148"/>
      <c r="C50" s="10">
        <v>3</v>
      </c>
      <c r="D50" s="11">
        <v>0.78</v>
      </c>
      <c r="E50" s="11">
        <v>0.67500000000000004</v>
      </c>
      <c r="F50" s="11">
        <v>0.57899999999999996</v>
      </c>
      <c r="G50" s="11">
        <v>0.51800000000000002</v>
      </c>
      <c r="H50" s="11">
        <v>0.48</v>
      </c>
      <c r="I50" s="11">
        <v>0.45400000000000001</v>
      </c>
      <c r="J50" s="11">
        <v>0.434</v>
      </c>
      <c r="K50" s="11">
        <v>0.42</v>
      </c>
      <c r="L50" s="11">
        <v>0.40799999999999997</v>
      </c>
      <c r="M50" s="11">
        <v>0.39800000000000002</v>
      </c>
      <c r="N50" s="11">
        <v>0.39</v>
      </c>
      <c r="O50" s="11">
        <v>0.38300000000000001</v>
      </c>
      <c r="P50" s="11">
        <v>0.378</v>
      </c>
      <c r="Q50" s="11">
        <v>0.373</v>
      </c>
      <c r="R50" s="26">
        <v>0.37</v>
      </c>
    </row>
    <row r="51" spans="1:18" ht="13.8" thickBot="1" x14ac:dyDescent="0.3">
      <c r="A51" s="2145"/>
      <c r="B51" s="2149"/>
      <c r="C51" s="17">
        <v>4</v>
      </c>
      <c r="D51" s="18">
        <v>0.69399999999999995</v>
      </c>
      <c r="E51" s="18">
        <v>0.58799999999999997</v>
      </c>
      <c r="F51" s="18">
        <v>0.51200000000000001</v>
      </c>
      <c r="G51" s="18">
        <v>0.46</v>
      </c>
      <c r="H51" s="18">
        <v>0.42199999999999999</v>
      </c>
      <c r="I51" s="18">
        <v>0.39700000000000002</v>
      </c>
      <c r="J51" s="18">
        <v>0.379</v>
      </c>
      <c r="K51" s="18">
        <v>0.36399999999999999</v>
      </c>
      <c r="L51" s="18">
        <v>0.35199999999999998</v>
      </c>
      <c r="M51" s="18">
        <v>0.34499999999999997</v>
      </c>
      <c r="N51" s="18">
        <v>0.33800000000000002</v>
      </c>
      <c r="O51" s="18">
        <v>0.33100000000000002</v>
      </c>
      <c r="P51" s="18">
        <v>0.32700000000000001</v>
      </c>
      <c r="Q51" s="18">
        <v>0.32300000000000001</v>
      </c>
      <c r="R51" s="27">
        <v>0.32</v>
      </c>
    </row>
    <row r="52" spans="1:18" ht="12.75" customHeight="1" x14ac:dyDescent="0.25">
      <c r="A52" s="2144">
        <v>13</v>
      </c>
      <c r="B52" s="2147">
        <v>350</v>
      </c>
      <c r="C52" s="15">
        <v>1</v>
      </c>
      <c r="D52" s="16">
        <v>1</v>
      </c>
      <c r="E52" s="16">
        <v>0.90500000000000003</v>
      </c>
      <c r="F52" s="16">
        <v>0.83</v>
      </c>
      <c r="G52" s="16">
        <v>0.77</v>
      </c>
      <c r="H52" s="16">
        <v>0.72</v>
      </c>
      <c r="I52" s="16">
        <v>0.68799999999999994</v>
      </c>
      <c r="J52" s="16">
        <v>0.66100000000000003</v>
      </c>
      <c r="K52" s="16">
        <v>0.64</v>
      </c>
      <c r="L52" s="16">
        <v>0.622</v>
      </c>
      <c r="M52" s="16">
        <v>0.60799999999999998</v>
      </c>
      <c r="N52" s="16">
        <v>0.59699999999999998</v>
      </c>
      <c r="O52" s="16">
        <v>0.59</v>
      </c>
      <c r="P52" s="16">
        <v>0.58299999999999996</v>
      </c>
      <c r="Q52" s="16">
        <v>0.57799999999999996</v>
      </c>
      <c r="R52" s="33">
        <v>0.57299999999999995</v>
      </c>
    </row>
    <row r="53" spans="1:18" ht="12.75" customHeight="1" x14ac:dyDescent="0.25">
      <c r="A53" s="2144"/>
      <c r="B53" s="2148"/>
      <c r="C53" s="10">
        <v>2</v>
      </c>
      <c r="D53" s="11">
        <v>0.88700000000000001</v>
      </c>
      <c r="E53" s="11">
        <v>0.749</v>
      </c>
      <c r="F53" s="11">
        <v>0.66400000000000003</v>
      </c>
      <c r="G53" s="11">
        <v>0.60899999999999999</v>
      </c>
      <c r="H53" s="11">
        <v>0.56999999999999995</v>
      </c>
      <c r="I53" s="11">
        <v>0.54</v>
      </c>
      <c r="J53" s="11">
        <v>0.51800000000000002</v>
      </c>
      <c r="K53" s="11">
        <v>0.499</v>
      </c>
      <c r="L53" s="11">
        <v>0.48399999999999999</v>
      </c>
      <c r="M53" s="11">
        <v>0.47399999999999998</v>
      </c>
      <c r="N53" s="11">
        <v>0.46500000000000002</v>
      </c>
      <c r="O53" s="11">
        <v>0.45800000000000002</v>
      </c>
      <c r="P53" s="11">
        <v>0.45</v>
      </c>
      <c r="Q53" s="11">
        <v>0.44500000000000001</v>
      </c>
      <c r="R53" s="26">
        <v>0.44</v>
      </c>
    </row>
    <row r="54" spans="1:18" ht="12.75" customHeight="1" x14ac:dyDescent="0.25">
      <c r="A54" s="2144"/>
      <c r="B54" s="2148"/>
      <c r="C54" s="10">
        <v>3</v>
      </c>
      <c r="D54" s="11">
        <v>0.77500000000000002</v>
      </c>
      <c r="E54" s="11">
        <v>0.66400000000000003</v>
      </c>
      <c r="F54" s="11">
        <v>0.57499999999999996</v>
      </c>
      <c r="G54" s="11">
        <v>0.51500000000000001</v>
      </c>
      <c r="H54" s="11">
        <v>0.47899999999999998</v>
      </c>
      <c r="I54" s="11">
        <v>0.45300000000000001</v>
      </c>
      <c r="J54" s="11">
        <v>0.433</v>
      </c>
      <c r="K54" s="11">
        <v>0.41899999999999998</v>
      </c>
      <c r="L54" s="11">
        <v>0.40600000000000003</v>
      </c>
      <c r="M54" s="11">
        <v>0.39700000000000002</v>
      </c>
      <c r="N54" s="11">
        <v>0.38900000000000001</v>
      </c>
      <c r="O54" s="11">
        <v>0.38200000000000001</v>
      </c>
      <c r="P54" s="11">
        <v>0.377</v>
      </c>
      <c r="Q54" s="11">
        <v>0.372</v>
      </c>
      <c r="R54" s="26">
        <v>0.36899999999999999</v>
      </c>
    </row>
    <row r="55" spans="1:18" ht="12.75" customHeight="1" thickBot="1" x14ac:dyDescent="0.3">
      <c r="A55" s="2144"/>
      <c r="B55" s="2154"/>
      <c r="C55" s="21">
        <v>4</v>
      </c>
      <c r="D55" s="22">
        <v>0.69</v>
      </c>
      <c r="E55" s="22">
        <v>0.58699999999999997</v>
      </c>
      <c r="F55" s="22">
        <v>0.51100000000000001</v>
      </c>
      <c r="G55" s="22">
        <v>0.45700000000000002</v>
      </c>
      <c r="H55" s="22">
        <v>0.42099999999999999</v>
      </c>
      <c r="I55" s="22">
        <v>0.39500000000000002</v>
      </c>
      <c r="J55" s="22">
        <v>0.377</v>
      </c>
      <c r="K55" s="22">
        <v>0.36199999999999999</v>
      </c>
      <c r="L55" s="22">
        <v>0.35099999999999998</v>
      </c>
      <c r="M55" s="22">
        <v>0.34300000000000003</v>
      </c>
      <c r="N55" s="22">
        <v>0.33600000000000002</v>
      </c>
      <c r="O55" s="22">
        <v>0.33</v>
      </c>
      <c r="P55" s="22">
        <v>0.32500000000000001</v>
      </c>
      <c r="Q55" s="22">
        <v>0.32100000000000001</v>
      </c>
      <c r="R55" s="34">
        <v>0.318</v>
      </c>
    </row>
    <row r="56" spans="1:18" ht="12.75" customHeight="1" x14ac:dyDescent="0.25">
      <c r="A56" s="2146">
        <v>14</v>
      </c>
      <c r="B56" s="2150">
        <v>500</v>
      </c>
      <c r="C56" s="23">
        <v>1</v>
      </c>
      <c r="D56" s="24">
        <v>1</v>
      </c>
      <c r="E56" s="24">
        <v>0.89700000000000002</v>
      </c>
      <c r="F56" s="24">
        <v>0.81499999999999995</v>
      </c>
      <c r="G56" s="24">
        <v>0.76200000000000001</v>
      </c>
      <c r="H56" s="24">
        <v>0.70799999999999996</v>
      </c>
      <c r="I56" s="24">
        <v>0.67800000000000005</v>
      </c>
      <c r="J56" s="24">
        <v>0.65200000000000002</v>
      </c>
      <c r="K56" s="24">
        <v>0.63</v>
      </c>
      <c r="L56" s="24">
        <v>0.61299999999999999</v>
      </c>
      <c r="M56" s="24">
        <v>0.59899999999999998</v>
      </c>
      <c r="N56" s="24">
        <v>0.58799999999999997</v>
      </c>
      <c r="O56" s="24">
        <v>0.58099999999999996</v>
      </c>
      <c r="P56" s="24">
        <v>0.57499999999999996</v>
      </c>
      <c r="Q56" s="24">
        <v>0.56999999999999995</v>
      </c>
      <c r="R56" s="25">
        <v>0.56499999999999995</v>
      </c>
    </row>
    <row r="57" spans="1:18" ht="12.75" customHeight="1" x14ac:dyDescent="0.25">
      <c r="A57" s="2144"/>
      <c r="B57" s="2148"/>
      <c r="C57" s="10">
        <v>2</v>
      </c>
      <c r="D57" s="11">
        <v>0.88200000000000001</v>
      </c>
      <c r="E57" s="11">
        <v>0.745</v>
      </c>
      <c r="F57" s="11">
        <v>0.65600000000000003</v>
      </c>
      <c r="G57" s="11">
        <v>0.60799999999999998</v>
      </c>
      <c r="H57" s="11">
        <v>0.56899999999999995</v>
      </c>
      <c r="I57" s="11">
        <v>0.53900000000000003</v>
      </c>
      <c r="J57" s="11">
        <v>0.51600000000000001</v>
      </c>
      <c r="K57" s="11">
        <v>0.498</v>
      </c>
      <c r="L57" s="11">
        <v>0.48299999999999998</v>
      </c>
      <c r="M57" s="11">
        <v>0.47299999999999998</v>
      </c>
      <c r="N57" s="11">
        <v>0.46300000000000002</v>
      </c>
      <c r="O57" s="11">
        <v>0.45700000000000002</v>
      </c>
      <c r="P57" s="11">
        <v>0.45</v>
      </c>
      <c r="Q57" s="11">
        <v>0.44400000000000001</v>
      </c>
      <c r="R57" s="26">
        <v>0.439</v>
      </c>
    </row>
    <row r="58" spans="1:18" ht="12.75" customHeight="1" x14ac:dyDescent="0.25">
      <c r="A58" s="2144"/>
      <c r="B58" s="2148"/>
      <c r="C58" s="10">
        <v>3</v>
      </c>
      <c r="D58" s="11">
        <v>0.77</v>
      </c>
      <c r="E58" s="11">
        <v>0.65600000000000003</v>
      </c>
      <c r="F58" s="11">
        <v>0.56999999999999995</v>
      </c>
      <c r="G58" s="11">
        <v>0.51400000000000001</v>
      </c>
      <c r="H58" s="11">
        <v>0.47799999999999998</v>
      </c>
      <c r="I58" s="11">
        <v>0.45200000000000001</v>
      </c>
      <c r="J58" s="11">
        <v>0.432</v>
      </c>
      <c r="K58" s="11">
        <v>0.41699999999999998</v>
      </c>
      <c r="L58" s="11">
        <v>0.40400000000000003</v>
      </c>
      <c r="M58" s="11">
        <v>0.39500000000000002</v>
      </c>
      <c r="N58" s="11">
        <v>0.38800000000000001</v>
      </c>
      <c r="O58" s="11">
        <v>0.38100000000000001</v>
      </c>
      <c r="P58" s="11">
        <v>0.375</v>
      </c>
      <c r="Q58" s="11">
        <v>0.37</v>
      </c>
      <c r="R58" s="26">
        <v>0.36699999999999999</v>
      </c>
    </row>
    <row r="59" spans="1:18" ht="12.75" customHeight="1" thickBot="1" x14ac:dyDescent="0.3">
      <c r="A59" s="2145"/>
      <c r="B59" s="2149"/>
      <c r="C59" s="17">
        <v>4</v>
      </c>
      <c r="D59" s="18">
        <v>0.68500000000000005</v>
      </c>
      <c r="E59" s="18">
        <v>0.58499999999999996</v>
      </c>
      <c r="F59" s="18">
        <v>0.51</v>
      </c>
      <c r="G59" s="18">
        <v>0.45400000000000001</v>
      </c>
      <c r="H59" s="18">
        <v>0.42</v>
      </c>
      <c r="I59" s="18">
        <v>0.39300000000000002</v>
      </c>
      <c r="J59" s="18">
        <v>0.374</v>
      </c>
      <c r="K59" s="18">
        <v>0.36</v>
      </c>
      <c r="L59" s="18">
        <v>0.34899999999999998</v>
      </c>
      <c r="M59" s="18">
        <v>0.34</v>
      </c>
      <c r="N59" s="18">
        <v>0.33300000000000002</v>
      </c>
      <c r="O59" s="18">
        <v>0.32800000000000001</v>
      </c>
      <c r="P59" s="18">
        <v>0.32300000000000001</v>
      </c>
      <c r="Q59" s="18">
        <v>0.31900000000000001</v>
      </c>
      <c r="R59" s="27">
        <v>0.315</v>
      </c>
    </row>
    <row r="60" spans="1:18" ht="12.75" customHeight="1" x14ac:dyDescent="0.25">
      <c r="A60" s="2144">
        <v>15</v>
      </c>
      <c r="B60" s="2147">
        <v>750</v>
      </c>
      <c r="C60" s="15">
        <v>1</v>
      </c>
      <c r="D60" s="16">
        <v>1</v>
      </c>
      <c r="E60" s="16">
        <v>0.89</v>
      </c>
      <c r="F60" s="16">
        <v>0.80200000000000005</v>
      </c>
      <c r="G60" s="16">
        <v>0.747</v>
      </c>
      <c r="H60" s="16">
        <v>0.7</v>
      </c>
      <c r="I60" s="16">
        <v>0.67</v>
      </c>
      <c r="J60" s="16">
        <v>0.64</v>
      </c>
      <c r="K60" s="16">
        <v>0.622</v>
      </c>
      <c r="L60" s="16">
        <v>0.60499999999999998</v>
      </c>
      <c r="M60" s="16">
        <v>0.59</v>
      </c>
      <c r="N60" s="16">
        <v>0.57999999999999996</v>
      </c>
      <c r="O60" s="16">
        <v>0.57199999999999995</v>
      </c>
      <c r="P60" s="16">
        <v>0.56599999999999995</v>
      </c>
      <c r="Q60" s="16">
        <v>0.56000000000000005</v>
      </c>
      <c r="R60" s="33">
        <v>0.55500000000000005</v>
      </c>
    </row>
    <row r="61" spans="1:18" ht="12.75" customHeight="1" x14ac:dyDescent="0.25">
      <c r="A61" s="2144"/>
      <c r="B61" s="2148"/>
      <c r="C61" s="10">
        <v>2</v>
      </c>
      <c r="D61" s="11">
        <v>0.87</v>
      </c>
      <c r="E61" s="11">
        <v>0.72499999999999998</v>
      </c>
      <c r="F61" s="11">
        <v>0.64100000000000001</v>
      </c>
      <c r="G61" s="11">
        <v>0.59099999999999997</v>
      </c>
      <c r="H61" s="11">
        <v>0.55200000000000005</v>
      </c>
      <c r="I61" s="11">
        <v>0.52200000000000002</v>
      </c>
      <c r="J61" s="11">
        <v>0.5</v>
      </c>
      <c r="K61" s="11">
        <v>0.48399999999999999</v>
      </c>
      <c r="L61" s="11">
        <v>0.46899999999999997</v>
      </c>
      <c r="M61" s="11">
        <v>0.45700000000000002</v>
      </c>
      <c r="N61" s="11">
        <v>0.44800000000000001</v>
      </c>
      <c r="O61" s="11">
        <v>0.44</v>
      </c>
      <c r="P61" s="11">
        <v>0.434</v>
      </c>
      <c r="Q61" s="11">
        <v>0.43</v>
      </c>
      <c r="R61" s="26">
        <v>0.42499999999999999</v>
      </c>
    </row>
    <row r="62" spans="1:18" ht="12.75" customHeight="1" x14ac:dyDescent="0.25">
      <c r="A62" s="2144"/>
      <c r="B62" s="2148"/>
      <c r="C62" s="10">
        <v>3</v>
      </c>
      <c r="D62" s="11">
        <v>0.76</v>
      </c>
      <c r="E62" s="11">
        <v>0.64100000000000001</v>
      </c>
      <c r="F62" s="11">
        <v>0.56000000000000005</v>
      </c>
      <c r="G62" s="11">
        <v>0.50700000000000001</v>
      </c>
      <c r="H62" s="11">
        <v>0.47</v>
      </c>
      <c r="I62" s="11">
        <v>0.44500000000000001</v>
      </c>
      <c r="J62" s="11">
        <v>0.42499999999999999</v>
      </c>
      <c r="K62" s="11">
        <v>0.41</v>
      </c>
      <c r="L62" s="11">
        <v>0.39800000000000002</v>
      </c>
      <c r="M62" s="11">
        <v>0.38900000000000001</v>
      </c>
      <c r="N62" s="11">
        <v>0.38</v>
      </c>
      <c r="O62" s="11">
        <v>0.374</v>
      </c>
      <c r="P62" s="11">
        <v>0.36899999999999999</v>
      </c>
      <c r="Q62" s="11">
        <v>0.36299999999999999</v>
      </c>
      <c r="R62" s="26">
        <v>0.36</v>
      </c>
    </row>
    <row r="63" spans="1:18" ht="12.75" customHeight="1" thickBot="1" x14ac:dyDescent="0.3">
      <c r="A63" s="2144"/>
      <c r="B63" s="2154"/>
      <c r="C63" s="21">
        <v>4</v>
      </c>
      <c r="D63" s="22">
        <v>0.68</v>
      </c>
      <c r="E63" s="22">
        <v>0.57899999999999996</v>
      </c>
      <c r="F63" s="22">
        <v>0.501</v>
      </c>
      <c r="G63" s="22">
        <v>0.44800000000000001</v>
      </c>
      <c r="H63" s="22">
        <v>0.41299999999999998</v>
      </c>
      <c r="I63" s="22">
        <v>0.38900000000000001</v>
      </c>
      <c r="J63" s="22">
        <v>0.371</v>
      </c>
      <c r="K63" s="22">
        <v>0.35699999999999998</v>
      </c>
      <c r="L63" s="22">
        <v>0.34599999999999997</v>
      </c>
      <c r="M63" s="22">
        <v>0.33700000000000002</v>
      </c>
      <c r="N63" s="22">
        <v>0.33</v>
      </c>
      <c r="O63" s="22">
        <v>0.32300000000000001</v>
      </c>
      <c r="P63" s="22">
        <v>0.318</v>
      </c>
      <c r="Q63" s="22">
        <v>0.314</v>
      </c>
      <c r="R63" s="34">
        <v>0.31</v>
      </c>
    </row>
    <row r="64" spans="1:18" ht="12.75" customHeight="1" x14ac:dyDescent="0.25">
      <c r="A64" s="2146">
        <v>16</v>
      </c>
      <c r="B64" s="2150">
        <v>1000</v>
      </c>
      <c r="C64" s="23">
        <v>1</v>
      </c>
      <c r="D64" s="24">
        <v>1</v>
      </c>
      <c r="E64" s="24">
        <v>0.88500000000000001</v>
      </c>
      <c r="F64" s="24">
        <v>0.79500000000000004</v>
      </c>
      <c r="G64" s="24">
        <v>0.74</v>
      </c>
      <c r="H64" s="24">
        <v>0.69499999999999995</v>
      </c>
      <c r="I64" s="24">
        <v>0.66500000000000004</v>
      </c>
      <c r="J64" s="24">
        <v>0.63900000000000001</v>
      </c>
      <c r="K64" s="24">
        <v>0.61799999999999999</v>
      </c>
      <c r="L64" s="24">
        <v>0.6</v>
      </c>
      <c r="M64" s="24">
        <v>0.58499999999999996</v>
      </c>
      <c r="N64" s="24">
        <v>0.57399999999999995</v>
      </c>
      <c r="O64" s="24">
        <v>0.56699999999999995</v>
      </c>
      <c r="P64" s="24">
        <v>0.56100000000000005</v>
      </c>
      <c r="Q64" s="24">
        <v>0.55500000000000005</v>
      </c>
      <c r="R64" s="25">
        <v>0.55100000000000005</v>
      </c>
    </row>
    <row r="65" spans="1:18" ht="12.75" customHeight="1" x14ac:dyDescent="0.25">
      <c r="A65" s="2144"/>
      <c r="B65" s="2148"/>
      <c r="C65" s="10">
        <v>2</v>
      </c>
      <c r="D65" s="11">
        <v>0.85799999999999998</v>
      </c>
      <c r="E65" s="11">
        <v>0.71599999999999997</v>
      </c>
      <c r="F65" s="11">
        <v>0.63200000000000001</v>
      </c>
      <c r="G65" s="11">
        <v>0.58199999999999996</v>
      </c>
      <c r="H65" s="11">
        <v>0.54400000000000004</v>
      </c>
      <c r="I65" s="11">
        <v>0.51300000000000001</v>
      </c>
      <c r="J65" s="11">
        <v>0.49299999999999999</v>
      </c>
      <c r="K65" s="11">
        <v>0.47399999999999998</v>
      </c>
      <c r="L65" s="11">
        <v>0.46</v>
      </c>
      <c r="M65" s="11">
        <v>0.44800000000000001</v>
      </c>
      <c r="N65" s="11">
        <v>0.439</v>
      </c>
      <c r="O65" s="11">
        <v>0.43099999999999999</v>
      </c>
      <c r="P65" s="11">
        <v>0.42499999999999999</v>
      </c>
      <c r="Q65" s="11">
        <v>0.42</v>
      </c>
      <c r="R65" s="26">
        <v>0.41499999999999998</v>
      </c>
    </row>
    <row r="66" spans="1:18" ht="12.75" customHeight="1" x14ac:dyDescent="0.25">
      <c r="A66" s="2144"/>
      <c r="B66" s="2148"/>
      <c r="C66" s="10">
        <v>3</v>
      </c>
      <c r="D66" s="11">
        <v>0.748</v>
      </c>
      <c r="E66" s="11">
        <v>0.63200000000000001</v>
      </c>
      <c r="F66" s="11">
        <v>0.55100000000000005</v>
      </c>
      <c r="G66" s="11">
        <v>0.499</v>
      </c>
      <c r="H66" s="11">
        <v>0.46400000000000002</v>
      </c>
      <c r="I66" s="11">
        <v>0.439</v>
      </c>
      <c r="J66" s="11">
        <v>0.41899999999999998</v>
      </c>
      <c r="K66" s="11">
        <v>0.40300000000000002</v>
      </c>
      <c r="L66" s="11">
        <v>0.39200000000000002</v>
      </c>
      <c r="M66" s="11">
        <v>0.38300000000000001</v>
      </c>
      <c r="N66" s="11">
        <v>0.375</v>
      </c>
      <c r="O66" s="11">
        <v>0.36899999999999999</v>
      </c>
      <c r="P66" s="11">
        <v>0.36299999999999999</v>
      </c>
      <c r="Q66" s="11">
        <v>0.35799999999999998</v>
      </c>
      <c r="R66" s="26">
        <v>0.35499999999999998</v>
      </c>
    </row>
    <row r="67" spans="1:18" ht="12.75" customHeight="1" thickBot="1" x14ac:dyDescent="0.3">
      <c r="A67" s="2145"/>
      <c r="B67" s="2149"/>
      <c r="C67" s="17">
        <v>4</v>
      </c>
      <c r="D67" s="18">
        <v>0.67600000000000005</v>
      </c>
      <c r="E67" s="18">
        <v>0.57399999999999995</v>
      </c>
      <c r="F67" s="18">
        <v>0.497</v>
      </c>
      <c r="G67" s="18">
        <v>0.44400000000000001</v>
      </c>
      <c r="H67" s="18">
        <v>0.40899999999999997</v>
      </c>
      <c r="I67" s="18">
        <v>0.38500000000000001</v>
      </c>
      <c r="J67" s="18">
        <v>0.36699999999999999</v>
      </c>
      <c r="K67" s="18">
        <v>0.35299999999999998</v>
      </c>
      <c r="L67" s="18">
        <v>0.34200000000000003</v>
      </c>
      <c r="M67" s="18">
        <v>0.33300000000000002</v>
      </c>
      <c r="N67" s="18">
        <v>0.32600000000000001</v>
      </c>
      <c r="O67" s="18">
        <v>0.31900000000000001</v>
      </c>
      <c r="P67" s="18">
        <v>0.315</v>
      </c>
      <c r="Q67" s="18">
        <v>0.311</v>
      </c>
      <c r="R67" s="27">
        <v>0.308</v>
      </c>
    </row>
  </sheetData>
  <mergeCells count="36">
    <mergeCell ref="D1:R1"/>
    <mergeCell ref="A52:A55"/>
    <mergeCell ref="A24:A27"/>
    <mergeCell ref="A28:A31"/>
    <mergeCell ref="A32:A35"/>
    <mergeCell ref="A36:A39"/>
    <mergeCell ref="B40:B43"/>
    <mergeCell ref="B44:B47"/>
    <mergeCell ref="B48:B51"/>
    <mergeCell ref="B36:B39"/>
    <mergeCell ref="B52:B55"/>
    <mergeCell ref="C1:C2"/>
    <mergeCell ref="A1:B1"/>
    <mergeCell ref="A20:A23"/>
    <mergeCell ref="A16:A19"/>
    <mergeCell ref="A64:A67"/>
    <mergeCell ref="A44:A47"/>
    <mergeCell ref="A48:A51"/>
    <mergeCell ref="B64:B67"/>
    <mergeCell ref="A56:A59"/>
    <mergeCell ref="A60:A63"/>
    <mergeCell ref="B56:B59"/>
    <mergeCell ref="B60:B63"/>
    <mergeCell ref="S4:T20"/>
    <mergeCell ref="A12:A15"/>
    <mergeCell ref="A40:A43"/>
    <mergeCell ref="B16:B19"/>
    <mergeCell ref="A4:A7"/>
    <mergeCell ref="B4:B7"/>
    <mergeCell ref="B8:B11"/>
    <mergeCell ref="B12:B15"/>
    <mergeCell ref="A8:A11"/>
    <mergeCell ref="B24:B27"/>
    <mergeCell ref="B28:B31"/>
    <mergeCell ref="B32:B35"/>
    <mergeCell ref="B20:B23"/>
  </mergeCells>
  <phoneticPr fontId="29" type="noConversion"/>
  <pageMargins left="0.75" right="0.75" top="1" bottom="1" header="0" footer="0"/>
  <pageSetup orientation="portrait"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R29"/>
  <sheetViews>
    <sheetView workbookViewId="0">
      <selection activeCell="T31" sqref="T31"/>
    </sheetView>
  </sheetViews>
  <sheetFormatPr baseColWidth="10" defaultColWidth="11.44140625" defaultRowHeight="13.2" x14ac:dyDescent="0.25"/>
  <cols>
    <col min="1" max="1" width="5.5546875" style="2" customWidth="1"/>
    <col min="9" max="9" width="6.88671875" customWidth="1"/>
    <col min="13" max="13" width="12.5546875" bestFit="1" customWidth="1"/>
    <col min="14" max="18" width="6.5546875" customWidth="1"/>
  </cols>
  <sheetData>
    <row r="1" spans="1:18" ht="13.8" thickBot="1" x14ac:dyDescent="0.3">
      <c r="B1" s="2161" t="s">
        <v>1865</v>
      </c>
      <c r="C1" s="2162"/>
      <c r="D1" s="2162"/>
      <c r="E1" s="2162"/>
      <c r="F1" s="2162"/>
      <c r="G1" s="2162"/>
      <c r="H1" s="2162"/>
      <c r="I1" s="2162"/>
      <c r="J1" s="2162"/>
      <c r="K1" s="2163"/>
    </row>
    <row r="2" spans="1:18" s="2" customFormat="1" ht="13.8" thickBot="1" x14ac:dyDescent="0.3">
      <c r="B2" s="42" t="s">
        <v>1648</v>
      </c>
      <c r="C2" s="55" t="s">
        <v>607</v>
      </c>
      <c r="D2" s="42">
        <v>115</v>
      </c>
      <c r="E2" s="43">
        <v>200</v>
      </c>
      <c r="F2" s="42">
        <v>208</v>
      </c>
      <c r="G2" s="43">
        <v>230</v>
      </c>
      <c r="H2" s="42">
        <v>460</v>
      </c>
      <c r="I2" s="43">
        <v>480</v>
      </c>
      <c r="J2" s="43">
        <v>575</v>
      </c>
      <c r="K2" s="42" t="s">
        <v>1866</v>
      </c>
      <c r="L2" s="4" t="s">
        <v>1867</v>
      </c>
      <c r="M2" s="4" t="s">
        <v>1868</v>
      </c>
    </row>
    <row r="3" spans="1:18" x14ac:dyDescent="0.25">
      <c r="A3" s="2">
        <v>1</v>
      </c>
      <c r="B3" s="38">
        <f t="shared" ref="B3:B29" si="0">C3*0.746</f>
        <v>0.373</v>
      </c>
      <c r="C3" s="267">
        <v>0.5</v>
      </c>
      <c r="D3" s="38">
        <v>4.4000000000000004</v>
      </c>
      <c r="E3" s="44">
        <v>2.5</v>
      </c>
      <c r="F3" s="38">
        <v>2.4</v>
      </c>
      <c r="G3" s="39">
        <v>2.2000000000000002</v>
      </c>
      <c r="H3" s="38">
        <v>1.1000000000000001</v>
      </c>
      <c r="I3" s="756">
        <f>+J3+((J3-H3)/($J$2-$H$2)*($I$2-$J$2))</f>
        <v>1.0652173913043479</v>
      </c>
      <c r="J3" s="44">
        <v>0.9</v>
      </c>
      <c r="K3" s="47"/>
      <c r="L3" s="2">
        <v>0.68</v>
      </c>
      <c r="M3" s="1">
        <f>B3/(460*H3*SQRT(3)*L3)*1000</f>
        <v>0.62587668683948605</v>
      </c>
    </row>
    <row r="4" spans="1:18" x14ac:dyDescent="0.25">
      <c r="A4" s="2">
        <v>2</v>
      </c>
      <c r="B4" s="40">
        <f t="shared" si="0"/>
        <v>0.5595</v>
      </c>
      <c r="C4" s="268">
        <v>0.75</v>
      </c>
      <c r="D4" s="40">
        <v>6.4</v>
      </c>
      <c r="E4" s="45">
        <v>3.7</v>
      </c>
      <c r="F4" s="40">
        <v>3.5</v>
      </c>
      <c r="G4" s="7">
        <v>3.2</v>
      </c>
      <c r="H4" s="40">
        <v>1.6</v>
      </c>
      <c r="I4" s="756">
        <f t="shared" ref="I4:I29" si="1">+J4+((J4-H4)/($J$2-$H$2)*($I$2-$J$2))</f>
        <v>1.5478260869565217</v>
      </c>
      <c r="J4" s="45">
        <v>1.3</v>
      </c>
      <c r="K4" s="48"/>
      <c r="L4" s="2">
        <v>0.74</v>
      </c>
      <c r="M4" s="1">
        <f t="shared" ref="M4:M29" si="2">B4/(460*H4*SQRT(3)*L4)*1000</f>
        <v>0.59310273871106722</v>
      </c>
    </row>
    <row r="5" spans="1:18" x14ac:dyDescent="0.25">
      <c r="A5" s="2">
        <v>3</v>
      </c>
      <c r="B5" s="40">
        <f t="shared" si="0"/>
        <v>0.746</v>
      </c>
      <c r="C5" s="268">
        <v>1</v>
      </c>
      <c r="D5" s="40">
        <v>8.4</v>
      </c>
      <c r="E5" s="45">
        <v>4.8</v>
      </c>
      <c r="F5" s="40">
        <v>4.5999999999999996</v>
      </c>
      <c r="G5" s="7">
        <v>4.2</v>
      </c>
      <c r="H5" s="40">
        <v>2.1</v>
      </c>
      <c r="I5" s="756">
        <f t="shared" si="1"/>
        <v>2.0304347826086957</v>
      </c>
      <c r="J5" s="45">
        <v>1.7</v>
      </c>
      <c r="K5" s="48"/>
      <c r="L5" s="2">
        <v>0.72</v>
      </c>
      <c r="M5" s="1">
        <f t="shared" si="2"/>
        <v>0.61925365311631719</v>
      </c>
      <c r="N5" s="50"/>
      <c r="O5" s="50"/>
      <c r="P5" s="50"/>
      <c r="Q5" s="50"/>
      <c r="R5" s="50"/>
    </row>
    <row r="6" spans="1:18" x14ac:dyDescent="0.25">
      <c r="A6" s="2">
        <v>4</v>
      </c>
      <c r="B6" s="40">
        <f t="shared" si="0"/>
        <v>1.119</v>
      </c>
      <c r="C6" s="268">
        <v>1.5</v>
      </c>
      <c r="D6" s="40">
        <v>12</v>
      </c>
      <c r="E6" s="45">
        <v>6.9</v>
      </c>
      <c r="F6" s="40">
        <v>6.6</v>
      </c>
      <c r="G6" s="7">
        <v>6</v>
      </c>
      <c r="H6" s="40">
        <v>3</v>
      </c>
      <c r="I6" s="756">
        <f t="shared" si="1"/>
        <v>2.8956521739130432</v>
      </c>
      <c r="J6" s="45">
        <v>2.4</v>
      </c>
      <c r="K6" s="48"/>
      <c r="L6" s="2">
        <v>0.76</v>
      </c>
      <c r="M6" s="1">
        <f t="shared" si="2"/>
        <v>0.6159944233630732</v>
      </c>
    </row>
    <row r="7" spans="1:18" x14ac:dyDescent="0.25">
      <c r="A7" s="2">
        <v>5</v>
      </c>
      <c r="B7" s="40">
        <f t="shared" si="0"/>
        <v>1.492</v>
      </c>
      <c r="C7" s="268">
        <v>2</v>
      </c>
      <c r="D7" s="40">
        <v>13.6</v>
      </c>
      <c r="E7" s="45">
        <v>7.8</v>
      </c>
      <c r="F7" s="40">
        <v>7.5</v>
      </c>
      <c r="G7" s="7">
        <v>6.8</v>
      </c>
      <c r="H7" s="40">
        <v>3.4</v>
      </c>
      <c r="I7" s="756">
        <f t="shared" si="1"/>
        <v>3.2782608695652176</v>
      </c>
      <c r="J7" s="45">
        <v>2.7</v>
      </c>
      <c r="K7" s="48"/>
      <c r="L7" s="2">
        <v>0.76</v>
      </c>
      <c r="M7" s="1">
        <f t="shared" si="2"/>
        <v>0.72469932160361572</v>
      </c>
    </row>
    <row r="8" spans="1:18" x14ac:dyDescent="0.25">
      <c r="A8" s="2">
        <v>6</v>
      </c>
      <c r="B8" s="40">
        <f t="shared" si="0"/>
        <v>2.238</v>
      </c>
      <c r="C8" s="268">
        <v>3</v>
      </c>
      <c r="D8" s="40"/>
      <c r="E8" s="45">
        <v>11</v>
      </c>
      <c r="F8" s="40">
        <v>10.6</v>
      </c>
      <c r="G8" s="7">
        <v>9.6</v>
      </c>
      <c r="H8" s="40">
        <v>4.8</v>
      </c>
      <c r="I8" s="756">
        <f t="shared" si="1"/>
        <v>4.6434782608695651</v>
      </c>
      <c r="J8" s="45">
        <v>3.9</v>
      </c>
      <c r="K8" s="48"/>
      <c r="L8" s="2">
        <v>0.79</v>
      </c>
      <c r="M8" s="1">
        <f t="shared" si="2"/>
        <v>0.74075278758850582</v>
      </c>
    </row>
    <row r="9" spans="1:18" x14ac:dyDescent="0.25">
      <c r="A9" s="2">
        <v>7</v>
      </c>
      <c r="B9" s="40">
        <f t="shared" si="0"/>
        <v>3.73</v>
      </c>
      <c r="C9" s="268">
        <v>5</v>
      </c>
      <c r="D9" s="40"/>
      <c r="E9" s="45">
        <v>17.5</v>
      </c>
      <c r="F9" s="40">
        <v>16.7</v>
      </c>
      <c r="G9" s="7">
        <v>15.2</v>
      </c>
      <c r="H9" s="40">
        <v>7.6</v>
      </c>
      <c r="I9" s="756">
        <f t="shared" si="1"/>
        <v>7.3391304347826081</v>
      </c>
      <c r="J9" s="45">
        <v>6.1</v>
      </c>
      <c r="K9" s="48"/>
      <c r="L9" s="2">
        <v>0.79</v>
      </c>
      <c r="M9" s="1">
        <f t="shared" si="2"/>
        <v>0.77973977640895353</v>
      </c>
    </row>
    <row r="10" spans="1:18" x14ac:dyDescent="0.25">
      <c r="A10" s="2">
        <v>8</v>
      </c>
      <c r="B10" s="40">
        <f t="shared" si="0"/>
        <v>5.5949999999999998</v>
      </c>
      <c r="C10" s="268">
        <v>7.5</v>
      </c>
      <c r="D10" s="40"/>
      <c r="E10" s="45">
        <v>25.3</v>
      </c>
      <c r="F10" s="40">
        <v>24.2</v>
      </c>
      <c r="G10" s="7">
        <v>22</v>
      </c>
      <c r="H10" s="40">
        <v>11</v>
      </c>
      <c r="I10" s="756">
        <f t="shared" si="1"/>
        <v>10.652173913043478</v>
      </c>
      <c r="J10" s="45">
        <v>9</v>
      </c>
      <c r="K10" s="48"/>
      <c r="L10" s="2">
        <v>0.81</v>
      </c>
      <c r="M10" s="1">
        <f t="shared" si="2"/>
        <v>0.78814101305713069</v>
      </c>
    </row>
    <row r="11" spans="1:18" x14ac:dyDescent="0.25">
      <c r="A11" s="2">
        <v>9</v>
      </c>
      <c r="B11" s="40">
        <f t="shared" si="0"/>
        <v>7.46</v>
      </c>
      <c r="C11" s="268">
        <v>10</v>
      </c>
      <c r="D11" s="40"/>
      <c r="E11" s="45">
        <v>32.200000000000003</v>
      </c>
      <c r="F11" s="40">
        <v>30.8</v>
      </c>
      <c r="G11" s="7">
        <v>28</v>
      </c>
      <c r="H11" s="40">
        <v>14</v>
      </c>
      <c r="I11" s="756">
        <f t="shared" si="1"/>
        <v>13.478260869565217</v>
      </c>
      <c r="J11" s="45">
        <v>11</v>
      </c>
      <c r="K11" s="48"/>
      <c r="L11" s="2">
        <v>0.82</v>
      </c>
      <c r="M11" s="1">
        <f t="shared" si="2"/>
        <v>0.81560237239710043</v>
      </c>
    </row>
    <row r="12" spans="1:18" x14ac:dyDescent="0.25">
      <c r="A12" s="2">
        <v>10</v>
      </c>
      <c r="B12" s="40">
        <f t="shared" si="0"/>
        <v>11.19</v>
      </c>
      <c r="C12" s="268">
        <v>15</v>
      </c>
      <c r="D12" s="40"/>
      <c r="E12" s="45">
        <v>48.3</v>
      </c>
      <c r="F12" s="40">
        <v>56.2</v>
      </c>
      <c r="G12" s="7">
        <v>42</v>
      </c>
      <c r="H12" s="40">
        <v>21</v>
      </c>
      <c r="I12" s="756">
        <f t="shared" si="1"/>
        <v>20.304347826086957</v>
      </c>
      <c r="J12" s="45">
        <v>17</v>
      </c>
      <c r="K12" s="48"/>
      <c r="L12" s="2">
        <v>0.85</v>
      </c>
      <c r="M12" s="1">
        <f t="shared" si="2"/>
        <v>0.78681640631249705</v>
      </c>
    </row>
    <row r="13" spans="1:18" x14ac:dyDescent="0.25">
      <c r="A13" s="2">
        <v>11</v>
      </c>
      <c r="B13" s="40">
        <f t="shared" si="0"/>
        <v>14.92</v>
      </c>
      <c r="C13" s="268">
        <v>20</v>
      </c>
      <c r="D13" s="40"/>
      <c r="E13" s="45">
        <v>62.1</v>
      </c>
      <c r="F13" s="40">
        <v>59.4</v>
      </c>
      <c r="G13" s="7">
        <v>54</v>
      </c>
      <c r="H13" s="40">
        <v>27</v>
      </c>
      <c r="I13" s="756">
        <f t="shared" si="1"/>
        <v>26.130434782608695</v>
      </c>
      <c r="J13" s="45">
        <v>22</v>
      </c>
      <c r="K13" s="48"/>
      <c r="L13" s="2">
        <v>0.85</v>
      </c>
      <c r="M13" s="1">
        <f t="shared" si="2"/>
        <v>0.81595775469444132</v>
      </c>
    </row>
    <row r="14" spans="1:18" x14ac:dyDescent="0.25">
      <c r="A14" s="2">
        <v>12</v>
      </c>
      <c r="B14" s="40">
        <f t="shared" si="0"/>
        <v>18.649999999999999</v>
      </c>
      <c r="C14" s="268">
        <v>25</v>
      </c>
      <c r="D14" s="40"/>
      <c r="E14" s="45">
        <v>78.2</v>
      </c>
      <c r="F14" s="40">
        <v>74.8</v>
      </c>
      <c r="G14" s="7">
        <v>68</v>
      </c>
      <c r="H14" s="40">
        <v>34</v>
      </c>
      <c r="I14" s="756">
        <f t="shared" si="1"/>
        <v>32.782608695652172</v>
      </c>
      <c r="J14" s="45">
        <v>27</v>
      </c>
      <c r="K14" s="48"/>
      <c r="L14" s="2">
        <v>0.82</v>
      </c>
      <c r="M14" s="1">
        <f t="shared" si="2"/>
        <v>0.83959067746760341</v>
      </c>
    </row>
    <row r="15" spans="1:18" x14ac:dyDescent="0.25">
      <c r="A15" s="2">
        <v>13</v>
      </c>
      <c r="B15" s="40">
        <f t="shared" si="0"/>
        <v>22.38</v>
      </c>
      <c r="C15" s="268">
        <v>30</v>
      </c>
      <c r="D15" s="40"/>
      <c r="E15" s="45">
        <v>92</v>
      </c>
      <c r="F15" s="40">
        <v>88</v>
      </c>
      <c r="G15" s="7">
        <v>80</v>
      </c>
      <c r="H15" s="40">
        <v>40</v>
      </c>
      <c r="I15" s="756">
        <f t="shared" si="1"/>
        <v>38.608695652173914</v>
      </c>
      <c r="J15" s="45">
        <v>32</v>
      </c>
      <c r="K15" s="48"/>
      <c r="L15" s="2">
        <v>0.83</v>
      </c>
      <c r="M15" s="1">
        <f t="shared" si="2"/>
        <v>0.84606462967940177</v>
      </c>
    </row>
    <row r="16" spans="1:18" x14ac:dyDescent="0.25">
      <c r="A16" s="2">
        <v>14</v>
      </c>
      <c r="B16" s="40">
        <f t="shared" si="0"/>
        <v>29.84</v>
      </c>
      <c r="C16" s="268">
        <v>40</v>
      </c>
      <c r="D16" s="40"/>
      <c r="E16" s="45">
        <v>120</v>
      </c>
      <c r="F16" s="40">
        <v>114</v>
      </c>
      <c r="G16" s="7">
        <v>104</v>
      </c>
      <c r="H16" s="40">
        <v>52</v>
      </c>
      <c r="I16" s="756">
        <f t="shared" si="1"/>
        <v>50.086956521739133</v>
      </c>
      <c r="J16" s="45">
        <v>41</v>
      </c>
      <c r="K16" s="48"/>
      <c r="L16" s="2">
        <v>0.84</v>
      </c>
      <c r="M16" s="1">
        <f t="shared" si="2"/>
        <v>0.85742813508413129</v>
      </c>
    </row>
    <row r="17" spans="1:13" x14ac:dyDescent="0.25">
      <c r="A17" s="2">
        <v>15</v>
      </c>
      <c r="B17" s="40">
        <f t="shared" si="0"/>
        <v>37.299999999999997</v>
      </c>
      <c r="C17" s="268">
        <v>50</v>
      </c>
      <c r="D17" s="40"/>
      <c r="E17" s="45">
        <v>150</v>
      </c>
      <c r="F17" s="40">
        <v>143</v>
      </c>
      <c r="G17" s="7">
        <v>130</v>
      </c>
      <c r="H17" s="40">
        <v>65</v>
      </c>
      <c r="I17" s="756">
        <f t="shared" si="1"/>
        <v>62.739130434782609</v>
      </c>
      <c r="J17" s="45">
        <v>52</v>
      </c>
      <c r="K17" s="48"/>
      <c r="L17" s="2">
        <v>0.84</v>
      </c>
      <c r="M17" s="1">
        <f t="shared" si="2"/>
        <v>0.8574281350841314</v>
      </c>
    </row>
    <row r="18" spans="1:13" x14ac:dyDescent="0.25">
      <c r="A18" s="2">
        <v>16</v>
      </c>
      <c r="B18" s="40">
        <f t="shared" si="0"/>
        <v>44.76</v>
      </c>
      <c r="C18" s="268">
        <v>60</v>
      </c>
      <c r="D18" s="40"/>
      <c r="E18" s="45">
        <v>177</v>
      </c>
      <c r="F18" s="40">
        <v>169</v>
      </c>
      <c r="G18" s="7">
        <v>154</v>
      </c>
      <c r="H18" s="40">
        <v>77</v>
      </c>
      <c r="I18" s="756">
        <f t="shared" si="1"/>
        <v>74.391304347826093</v>
      </c>
      <c r="J18" s="45">
        <v>62</v>
      </c>
      <c r="K18" s="48">
        <v>16</v>
      </c>
      <c r="L18" s="2">
        <v>0.85</v>
      </c>
      <c r="M18" s="1">
        <f t="shared" si="2"/>
        <v>0.85834517052272397</v>
      </c>
    </row>
    <row r="19" spans="1:13" x14ac:dyDescent="0.25">
      <c r="A19" s="2">
        <v>17</v>
      </c>
      <c r="B19" s="40">
        <f t="shared" si="0"/>
        <v>55.95</v>
      </c>
      <c r="C19" s="268">
        <v>75</v>
      </c>
      <c r="D19" s="40"/>
      <c r="E19" s="45">
        <v>221</v>
      </c>
      <c r="F19" s="40">
        <v>211</v>
      </c>
      <c r="G19" s="7">
        <v>192</v>
      </c>
      <c r="H19" s="40">
        <v>96</v>
      </c>
      <c r="I19" s="756">
        <f t="shared" si="1"/>
        <v>92.695652173913047</v>
      </c>
      <c r="J19" s="45">
        <v>77</v>
      </c>
      <c r="K19" s="48">
        <v>20</v>
      </c>
      <c r="L19" s="2">
        <v>0.85</v>
      </c>
      <c r="M19" s="1">
        <f t="shared" si="2"/>
        <v>0.86058044440429349</v>
      </c>
    </row>
    <row r="20" spans="1:13" x14ac:dyDescent="0.25">
      <c r="A20" s="2">
        <v>18</v>
      </c>
      <c r="B20" s="40">
        <f t="shared" si="0"/>
        <v>74.599999999999994</v>
      </c>
      <c r="C20" s="268">
        <v>100</v>
      </c>
      <c r="D20" s="40"/>
      <c r="E20" s="45">
        <v>285</v>
      </c>
      <c r="F20" s="40">
        <v>273</v>
      </c>
      <c r="G20" s="7">
        <v>248</v>
      </c>
      <c r="H20" s="40">
        <v>124</v>
      </c>
      <c r="I20" s="756">
        <f t="shared" si="1"/>
        <v>119.65217391304347</v>
      </c>
      <c r="J20" s="45">
        <v>99</v>
      </c>
      <c r="K20" s="48">
        <v>26</v>
      </c>
      <c r="L20" s="2">
        <v>0.86</v>
      </c>
      <c r="M20" s="1">
        <f t="shared" si="2"/>
        <v>0.87801155618142468</v>
      </c>
    </row>
    <row r="21" spans="1:13" x14ac:dyDescent="0.25">
      <c r="A21" s="2">
        <v>19</v>
      </c>
      <c r="B21" s="40">
        <f t="shared" si="0"/>
        <v>93.25</v>
      </c>
      <c r="C21" s="268">
        <v>125</v>
      </c>
      <c r="D21" s="40"/>
      <c r="E21" s="45">
        <v>359</v>
      </c>
      <c r="F21" s="40">
        <v>343</v>
      </c>
      <c r="G21" s="7">
        <v>312</v>
      </c>
      <c r="H21" s="40">
        <v>156</v>
      </c>
      <c r="I21" s="756">
        <f t="shared" si="1"/>
        <v>150.60869565217391</v>
      </c>
      <c r="J21" s="45">
        <v>125</v>
      </c>
      <c r="K21" s="48">
        <v>31</v>
      </c>
      <c r="L21" s="2">
        <v>0.86</v>
      </c>
      <c r="M21" s="1">
        <f t="shared" si="2"/>
        <v>0.87238327697513363</v>
      </c>
    </row>
    <row r="22" spans="1:13" x14ac:dyDescent="0.25">
      <c r="A22" s="2">
        <v>20</v>
      </c>
      <c r="B22" s="40">
        <f t="shared" si="0"/>
        <v>111.9</v>
      </c>
      <c r="C22" s="268">
        <v>150</v>
      </c>
      <c r="D22" s="40"/>
      <c r="E22" s="45">
        <v>414</v>
      </c>
      <c r="F22" s="40">
        <v>396</v>
      </c>
      <c r="G22" s="7">
        <v>360</v>
      </c>
      <c r="H22" s="40">
        <v>180</v>
      </c>
      <c r="I22" s="756">
        <f t="shared" si="1"/>
        <v>173.73913043478262</v>
      </c>
      <c r="J22" s="45">
        <v>144</v>
      </c>
      <c r="K22" s="48">
        <v>37</v>
      </c>
      <c r="L22" s="2">
        <v>0.86</v>
      </c>
      <c r="M22" s="1">
        <f t="shared" si="2"/>
        <v>0.90727860805413907</v>
      </c>
    </row>
    <row r="23" spans="1:13" x14ac:dyDescent="0.25">
      <c r="A23" s="2">
        <v>21</v>
      </c>
      <c r="B23" s="40">
        <f t="shared" si="0"/>
        <v>149.19999999999999</v>
      </c>
      <c r="C23" s="268">
        <v>200</v>
      </c>
      <c r="D23" s="40"/>
      <c r="E23" s="45">
        <v>552</v>
      </c>
      <c r="F23" s="40">
        <v>528</v>
      </c>
      <c r="G23" s="7">
        <v>480</v>
      </c>
      <c r="H23" s="40">
        <v>240</v>
      </c>
      <c r="I23" s="756">
        <f t="shared" si="1"/>
        <v>231.65217391304347</v>
      </c>
      <c r="J23" s="45">
        <v>192</v>
      </c>
      <c r="K23" s="48">
        <v>49</v>
      </c>
      <c r="L23" s="2">
        <v>0.87</v>
      </c>
      <c r="M23" s="1">
        <f t="shared" si="2"/>
        <v>0.89685011830639016</v>
      </c>
    </row>
    <row r="24" spans="1:13" x14ac:dyDescent="0.25">
      <c r="A24" s="2">
        <v>22</v>
      </c>
      <c r="B24" s="40">
        <f t="shared" si="0"/>
        <v>186.5</v>
      </c>
      <c r="C24" s="268">
        <v>250</v>
      </c>
      <c r="D24" s="40"/>
      <c r="E24" s="45"/>
      <c r="F24" s="40"/>
      <c r="G24" s="7"/>
      <c r="H24" s="40">
        <v>302</v>
      </c>
      <c r="I24" s="756">
        <f t="shared" si="1"/>
        <v>291.56521739130437</v>
      </c>
      <c r="J24" s="45">
        <v>242</v>
      </c>
      <c r="K24" s="48">
        <v>60</v>
      </c>
      <c r="L24" s="2">
        <v>0.87</v>
      </c>
      <c r="M24" s="1">
        <f t="shared" si="2"/>
        <v>0.89091071354939433</v>
      </c>
    </row>
    <row r="25" spans="1:13" x14ac:dyDescent="0.25">
      <c r="A25" s="2">
        <v>23</v>
      </c>
      <c r="B25" s="40">
        <f t="shared" si="0"/>
        <v>223.8</v>
      </c>
      <c r="C25" s="268">
        <v>300</v>
      </c>
      <c r="D25" s="40"/>
      <c r="E25" s="45"/>
      <c r="F25" s="40"/>
      <c r="G25" s="7"/>
      <c r="H25" s="40">
        <v>361</v>
      </c>
      <c r="I25" s="756">
        <f t="shared" si="1"/>
        <v>348.47826086956525</v>
      </c>
      <c r="J25" s="45">
        <v>289</v>
      </c>
      <c r="K25" s="48">
        <v>72</v>
      </c>
      <c r="L25" s="2">
        <v>0.87</v>
      </c>
      <c r="M25" s="1">
        <f t="shared" si="2"/>
        <v>0.89436576894820097</v>
      </c>
    </row>
    <row r="26" spans="1:13" x14ac:dyDescent="0.25">
      <c r="A26" s="2">
        <v>24</v>
      </c>
      <c r="B26" s="40">
        <f t="shared" si="0"/>
        <v>261.10000000000002</v>
      </c>
      <c r="C26" s="268">
        <v>350</v>
      </c>
      <c r="D26" s="40"/>
      <c r="E26" s="45"/>
      <c r="F26" s="40"/>
      <c r="G26" s="7"/>
      <c r="H26" s="40">
        <v>414</v>
      </c>
      <c r="I26" s="756">
        <f t="shared" si="1"/>
        <v>400.43478260869563</v>
      </c>
      <c r="J26" s="45">
        <v>336</v>
      </c>
      <c r="K26" s="48">
        <v>83</v>
      </c>
      <c r="L26" s="1">
        <v>0.88</v>
      </c>
      <c r="M26" s="1">
        <f t="shared" si="2"/>
        <v>0.89950876490216025</v>
      </c>
    </row>
    <row r="27" spans="1:13" x14ac:dyDescent="0.25">
      <c r="A27" s="2">
        <v>25</v>
      </c>
      <c r="B27" s="40">
        <f t="shared" si="0"/>
        <v>298.39999999999998</v>
      </c>
      <c r="C27" s="268">
        <v>400</v>
      </c>
      <c r="D27" s="40"/>
      <c r="E27" s="45"/>
      <c r="F27" s="40"/>
      <c r="G27" s="7"/>
      <c r="H27" s="40">
        <v>477</v>
      </c>
      <c r="I27" s="756">
        <f t="shared" si="1"/>
        <v>460.47826086956525</v>
      </c>
      <c r="J27" s="45">
        <v>382</v>
      </c>
      <c r="K27" s="48">
        <v>95</v>
      </c>
      <c r="L27" s="2">
        <v>0.89</v>
      </c>
      <c r="M27" s="1">
        <f t="shared" si="2"/>
        <v>0.88220999553564783</v>
      </c>
    </row>
    <row r="28" spans="1:13" x14ac:dyDescent="0.25">
      <c r="A28" s="2">
        <v>26</v>
      </c>
      <c r="B28" s="40">
        <f t="shared" si="0"/>
        <v>335.7</v>
      </c>
      <c r="C28" s="268">
        <v>450</v>
      </c>
      <c r="D28" s="40"/>
      <c r="E28" s="45"/>
      <c r="F28" s="40"/>
      <c r="G28" s="7"/>
      <c r="H28" s="40">
        <v>515</v>
      </c>
      <c r="I28" s="756">
        <f t="shared" si="1"/>
        <v>497.08695652173913</v>
      </c>
      <c r="J28" s="45">
        <v>412</v>
      </c>
      <c r="K28" s="48">
        <v>103</v>
      </c>
      <c r="L28" s="1">
        <v>0.9</v>
      </c>
      <c r="M28" s="1">
        <f t="shared" si="2"/>
        <v>0.9090403140891955</v>
      </c>
    </row>
    <row r="29" spans="1:13" ht="13.8" thickBot="1" x14ac:dyDescent="0.3">
      <c r="A29" s="2">
        <v>27</v>
      </c>
      <c r="B29" s="41">
        <f t="shared" si="0"/>
        <v>373</v>
      </c>
      <c r="C29" s="269">
        <v>500</v>
      </c>
      <c r="D29" s="41"/>
      <c r="E29" s="46"/>
      <c r="F29" s="41"/>
      <c r="G29" s="8"/>
      <c r="H29" s="41">
        <v>590</v>
      </c>
      <c r="I29" s="756">
        <f t="shared" si="1"/>
        <v>569.47826086956525</v>
      </c>
      <c r="J29" s="46">
        <v>472</v>
      </c>
      <c r="K29" s="49">
        <v>118</v>
      </c>
      <c r="L29" s="1">
        <v>0.91</v>
      </c>
      <c r="M29" s="1">
        <f t="shared" si="2"/>
        <v>0.87196081533979442</v>
      </c>
    </row>
  </sheetData>
  <mergeCells count="1">
    <mergeCell ref="B1:K1"/>
  </mergeCells>
  <phoneticPr fontId="29" type="noConversion"/>
  <pageMargins left="0.75" right="0.75" top="1" bottom="1" header="0" footer="0"/>
  <pageSetup orientation="portrait"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BA162"/>
  <sheetViews>
    <sheetView zoomScaleNormal="100" workbookViewId="0">
      <selection activeCell="L8" sqref="L8"/>
    </sheetView>
  </sheetViews>
  <sheetFormatPr baseColWidth="10" defaultColWidth="11.44140625" defaultRowHeight="13.2" x14ac:dyDescent="0.25"/>
  <cols>
    <col min="1" max="2" width="11.44140625" style="75"/>
    <col min="3" max="4" width="11.44140625" style="75" customWidth="1"/>
    <col min="5" max="5" width="11.44140625" style="150" customWidth="1"/>
    <col min="6" max="7" width="11.44140625" style="75" customWidth="1"/>
    <col min="8" max="8" width="12.44140625" style="75" bestFit="1" customWidth="1"/>
    <col min="9" max="9" width="9.5546875" style="75" customWidth="1"/>
    <col min="10" max="10" width="12.44140625" style="75" bestFit="1" customWidth="1"/>
    <col min="11" max="11" width="9.5546875" style="75" customWidth="1"/>
    <col min="12" max="12" width="14.44140625" style="75" customWidth="1"/>
    <col min="13" max="13" width="5.88671875" style="75" customWidth="1"/>
    <col min="14" max="17" width="14.44140625" style="75" customWidth="1"/>
    <col min="18" max="18" width="8.109375" style="150" customWidth="1"/>
    <col min="19" max="19" width="13.44140625" style="149" customWidth="1"/>
    <col min="20" max="21" width="11.44140625" style="149"/>
    <col min="22" max="24" width="11.44140625" style="75"/>
    <col min="25" max="25" width="16.5546875" style="149" customWidth="1"/>
    <col min="26" max="33" width="11.44140625" style="75"/>
    <col min="34" max="34" width="11.5546875" style="75" bestFit="1" customWidth="1"/>
    <col min="35" max="35" width="11.44140625" style="75"/>
    <col min="36" max="53" width="14.44140625" style="75" customWidth="1"/>
    <col min="54" max="16384" width="11.44140625" style="75"/>
  </cols>
  <sheetData>
    <row r="1" spans="1:53" x14ac:dyDescent="0.25">
      <c r="F1" s="75">
        <v>1</v>
      </c>
      <c r="G1" s="75">
        <v>2</v>
      </c>
      <c r="H1" s="75">
        <v>3</v>
      </c>
      <c r="I1" s="75">
        <v>4</v>
      </c>
      <c r="J1" s="75">
        <v>5</v>
      </c>
      <c r="K1" s="75">
        <v>6</v>
      </c>
      <c r="L1" s="75">
        <v>7</v>
      </c>
      <c r="M1" s="75">
        <v>8</v>
      </c>
      <c r="N1" s="75">
        <v>9</v>
      </c>
      <c r="O1" s="75">
        <v>10</v>
      </c>
      <c r="P1" s="75">
        <v>11</v>
      </c>
      <c r="Q1" s="75">
        <v>12</v>
      </c>
      <c r="R1" s="75">
        <v>13</v>
      </c>
      <c r="S1" s="75">
        <v>14</v>
      </c>
      <c r="T1" s="75">
        <v>15</v>
      </c>
      <c r="U1" s="75">
        <v>16</v>
      </c>
      <c r="V1" s="75">
        <v>17</v>
      </c>
      <c r="W1" s="75">
        <v>18</v>
      </c>
      <c r="X1" s="75">
        <v>19</v>
      </c>
      <c r="Y1" s="75">
        <v>20</v>
      </c>
      <c r="Z1" s="75">
        <v>21</v>
      </c>
      <c r="AA1" s="75">
        <v>22</v>
      </c>
      <c r="AB1" s="75">
        <v>23</v>
      </c>
      <c r="AC1" s="75">
        <v>24</v>
      </c>
      <c r="AD1" s="75">
        <v>25</v>
      </c>
      <c r="AE1" s="75">
        <v>26</v>
      </c>
      <c r="AF1" s="75">
        <v>27</v>
      </c>
    </row>
    <row r="2" spans="1:53" x14ac:dyDescent="0.25">
      <c r="D2" s="75">
        <f>D22*3*5+D15*5</f>
        <v>502.35</v>
      </c>
      <c r="E2" s="150">
        <f>679*5*3+(F15*5)</f>
        <v>10773.5</v>
      </c>
    </row>
    <row r="3" spans="1:53" x14ac:dyDescent="0.25">
      <c r="E3" s="150">
        <f>600*100</f>
        <v>60000</v>
      </c>
      <c r="F3" s="75">
        <f>E3*28%</f>
        <v>16800</v>
      </c>
      <c r="G3" s="271"/>
      <c r="H3" s="149" t="s">
        <v>1869</v>
      </c>
      <c r="I3" s="149" t="str">
        <f>MID('H2-CONDUCTORES DE BT'!$AW$3,1,2)</f>
        <v>90</v>
      </c>
      <c r="J3" s="75" t="s">
        <v>1870</v>
      </c>
      <c r="L3" s="75">
        <f>D22*2.15</f>
        <v>63.231499999999997</v>
      </c>
    </row>
    <row r="4" spans="1:53" x14ac:dyDescent="0.25">
      <c r="A4" s="75" t="s">
        <v>1871</v>
      </c>
      <c r="B4" s="75" t="s">
        <v>97</v>
      </c>
      <c r="D4" s="807"/>
      <c r="E4" s="806">
        <f>E2/E3</f>
        <v>0.17955833333333332</v>
      </c>
      <c r="H4" s="149" t="s">
        <v>611</v>
      </c>
      <c r="I4" s="149">
        <v>3.2299999999999998E-3</v>
      </c>
      <c r="X4" s="75" t="s">
        <v>1871</v>
      </c>
    </row>
    <row r="5" spans="1:53" x14ac:dyDescent="0.25">
      <c r="A5" s="75" t="s">
        <v>1872</v>
      </c>
      <c r="B5" s="75" t="s">
        <v>937</v>
      </c>
      <c r="H5" s="149" t="s">
        <v>601</v>
      </c>
      <c r="I5" s="331">
        <v>3.3E-3</v>
      </c>
      <c r="M5" s="75">
        <f>(D22*2+D15)*7</f>
        <v>497.42</v>
      </c>
      <c r="X5" s="75" t="s">
        <v>1872</v>
      </c>
      <c r="AJ5" s="1636" t="s">
        <v>676</v>
      </c>
      <c r="AK5" s="1636"/>
      <c r="AL5" s="1636"/>
      <c r="AM5" s="1636"/>
      <c r="AN5" s="1636"/>
      <c r="AO5" s="1636"/>
      <c r="AP5" s="1636" t="s">
        <v>679</v>
      </c>
      <c r="AQ5" s="1636"/>
      <c r="AR5" s="1636"/>
      <c r="AS5" s="1636"/>
      <c r="AT5" s="1636"/>
      <c r="AU5" s="1636"/>
      <c r="AV5" s="1636" t="s">
        <v>681</v>
      </c>
      <c r="AW5" s="1636"/>
      <c r="AX5" s="1636"/>
      <c r="AY5" s="1636"/>
      <c r="AZ5" s="1636"/>
      <c r="BA5" s="1636"/>
    </row>
    <row r="6" spans="1:53" x14ac:dyDescent="0.25">
      <c r="A6" s="149"/>
      <c r="B6" s="149">
        <v>1</v>
      </c>
      <c r="C6" s="149">
        <v>2</v>
      </c>
      <c r="D6" s="149">
        <v>3</v>
      </c>
      <c r="E6" s="149">
        <v>4</v>
      </c>
      <c r="F6" s="149">
        <v>5</v>
      </c>
      <c r="G6" s="149">
        <v>6</v>
      </c>
      <c r="H6" s="149">
        <v>7</v>
      </c>
      <c r="I6" s="149">
        <v>8</v>
      </c>
      <c r="J6" s="149">
        <v>9</v>
      </c>
      <c r="K6" s="149">
        <v>10</v>
      </c>
      <c r="L6" s="149">
        <v>11</v>
      </c>
      <c r="M6" s="149">
        <v>12</v>
      </c>
      <c r="N6" s="149">
        <v>13</v>
      </c>
      <c r="O6" s="149">
        <v>14</v>
      </c>
      <c r="P6" s="149">
        <v>15</v>
      </c>
      <c r="Q6" s="149">
        <v>16</v>
      </c>
      <c r="R6" s="149">
        <v>17</v>
      </c>
      <c r="S6" s="149">
        <v>18</v>
      </c>
      <c r="T6" s="149">
        <v>19</v>
      </c>
      <c r="U6" s="149">
        <v>20</v>
      </c>
      <c r="V6" s="149">
        <v>21</v>
      </c>
      <c r="W6" s="149">
        <v>22</v>
      </c>
      <c r="X6" s="149">
        <v>23</v>
      </c>
      <c r="Y6" s="149">
        <v>24</v>
      </c>
      <c r="Z6" s="149">
        <v>25</v>
      </c>
      <c r="AA6" s="149">
        <v>26</v>
      </c>
      <c r="AB6" s="149">
        <v>27</v>
      </c>
      <c r="AC6" s="149">
        <v>28</v>
      </c>
      <c r="AD6" s="149">
        <v>29</v>
      </c>
      <c r="AE6" s="149">
        <v>30</v>
      </c>
      <c r="AF6" s="149">
        <v>31</v>
      </c>
      <c r="AG6" s="149">
        <v>32</v>
      </c>
      <c r="AJ6" s="149"/>
      <c r="AK6" s="149"/>
      <c r="AL6" s="149"/>
      <c r="AM6" s="149"/>
      <c r="AN6" s="149"/>
      <c r="AO6" s="149"/>
      <c r="AP6" s="149"/>
      <c r="AQ6" s="149"/>
      <c r="AR6" s="149"/>
      <c r="AS6" s="149"/>
      <c r="AT6" s="149"/>
      <c r="AU6" s="149"/>
      <c r="AV6" s="149"/>
      <c r="AW6" s="149"/>
      <c r="AX6" s="149"/>
      <c r="AY6" s="149"/>
      <c r="AZ6" s="149"/>
      <c r="BA6" s="149"/>
    </row>
    <row r="7" spans="1:53" ht="51.75" customHeight="1" x14ac:dyDescent="0.25">
      <c r="A7" s="1632" t="s">
        <v>936</v>
      </c>
      <c r="B7" s="1632" t="s">
        <v>937</v>
      </c>
      <c r="C7" s="1632" t="s">
        <v>938</v>
      </c>
      <c r="D7" s="1632" t="s">
        <v>939</v>
      </c>
      <c r="E7" s="1632"/>
      <c r="F7" s="1632" t="s">
        <v>1873</v>
      </c>
      <c r="G7" s="1632"/>
      <c r="H7" s="1632" t="s">
        <v>1874</v>
      </c>
      <c r="I7" s="1632"/>
      <c r="J7" s="2167" t="s">
        <v>1875</v>
      </c>
      <c r="K7" s="2168"/>
      <c r="L7" s="1632" t="str">
        <f>+IF($I$3="60",AJ7,IF($I$3="75",AP7,IF($I$3="90",AV7,"ALGO SE ENCUENTRA MAL")))</f>
        <v>Cu 90°C
TBS - SA - SIS - FEP - FEPB - MI - RHH - RHW-2 - THHN - THHW - THW-2 - THWN-2 - USE-2 -XHH - XHHW - XHHW-2 - ZW-2</v>
      </c>
      <c r="M7" s="1632"/>
      <c r="N7" s="1632"/>
      <c r="O7" s="1632" t="str">
        <f>+IF($I$3="60",AM7,IF($I$3="75",AS7,IF($I$3="90",AY7,"ALGO SE ENCUENTRA MAL")))</f>
        <v>Al 90°C
TBS - SA - SIS - FEP - FEPB - MI - RHH - RHW-2 - THHN - THHW - THW-2 - THWN-2 - USE-2 -XHH - XHHW - XHHW-2 - ZW-2</v>
      </c>
      <c r="P7" s="1632"/>
      <c r="Q7" s="1632"/>
      <c r="R7" s="225" t="s">
        <v>945</v>
      </c>
      <c r="S7" s="2164" t="s">
        <v>1876</v>
      </c>
      <c r="T7" s="77" t="s">
        <v>1877</v>
      </c>
      <c r="U7" s="154"/>
      <c r="V7" s="1632" t="s">
        <v>1878</v>
      </c>
      <c r="W7" s="1632"/>
      <c r="X7" s="1632" t="s">
        <v>936</v>
      </c>
      <c r="Y7" s="77" t="s">
        <v>946</v>
      </c>
      <c r="Z7" s="250" t="s">
        <v>956</v>
      </c>
      <c r="AA7" s="250" t="s">
        <v>957</v>
      </c>
      <c r="AB7" s="1632" t="s">
        <v>937</v>
      </c>
      <c r="AC7" s="1632" t="s">
        <v>1874</v>
      </c>
      <c r="AD7" s="1632"/>
      <c r="AE7" s="1632" t="s">
        <v>1875</v>
      </c>
      <c r="AF7" s="1632"/>
      <c r="AG7" s="1632" t="s">
        <v>1879</v>
      </c>
      <c r="AJ7" s="1632" t="s">
        <v>1880</v>
      </c>
      <c r="AK7" s="1632"/>
      <c r="AL7" s="1632"/>
      <c r="AM7" s="1632" t="s">
        <v>1881</v>
      </c>
      <c r="AN7" s="1632"/>
      <c r="AO7" s="1632"/>
      <c r="AP7" s="1632" t="s">
        <v>1882</v>
      </c>
      <c r="AQ7" s="1632"/>
      <c r="AR7" s="1632"/>
      <c r="AS7" s="1632" t="s">
        <v>1883</v>
      </c>
      <c r="AT7" s="1632"/>
      <c r="AU7" s="1632"/>
      <c r="AV7" s="1632" t="s">
        <v>1884</v>
      </c>
      <c r="AW7" s="1632"/>
      <c r="AX7" s="1632"/>
      <c r="AY7" s="1632" t="s">
        <v>1885</v>
      </c>
      <c r="AZ7" s="1632"/>
      <c r="BA7" s="1632"/>
    </row>
    <row r="8" spans="1:53" s="224" customFormat="1" ht="37.5" customHeight="1" x14ac:dyDescent="0.25">
      <c r="A8" s="1632"/>
      <c r="B8" s="1632"/>
      <c r="C8" s="1632"/>
      <c r="D8" s="77" t="s">
        <v>798</v>
      </c>
      <c r="E8" s="77" t="s">
        <v>1886</v>
      </c>
      <c r="F8" s="77" t="s">
        <v>947</v>
      </c>
      <c r="G8" s="77" t="s">
        <v>1887</v>
      </c>
      <c r="H8" s="77" t="s">
        <v>1888</v>
      </c>
      <c r="I8" s="77" t="s">
        <v>948</v>
      </c>
      <c r="J8" s="77" t="s">
        <v>1888</v>
      </c>
      <c r="K8" s="77" t="s">
        <v>948</v>
      </c>
      <c r="L8" s="77" t="s">
        <v>1889</v>
      </c>
      <c r="M8" s="77" t="s">
        <v>1890</v>
      </c>
      <c r="N8" s="77" t="s">
        <v>1891</v>
      </c>
      <c r="O8" s="77" t="s">
        <v>1889</v>
      </c>
      <c r="P8" s="77" t="s">
        <v>1890</v>
      </c>
      <c r="Q8" s="77" t="s">
        <v>1891</v>
      </c>
      <c r="R8" s="77"/>
      <c r="S8" s="2165"/>
      <c r="T8" s="77" t="s">
        <v>1743</v>
      </c>
      <c r="U8" s="77"/>
      <c r="V8" s="270"/>
      <c r="W8" s="270"/>
      <c r="X8" s="1632"/>
      <c r="Y8" s="77" t="s">
        <v>947</v>
      </c>
      <c r="Z8" s="77" t="s">
        <v>798</v>
      </c>
      <c r="AA8" s="77" t="s">
        <v>947</v>
      </c>
      <c r="AB8" s="1632"/>
      <c r="AC8" s="77" t="s">
        <v>784</v>
      </c>
      <c r="AD8" s="77" t="s">
        <v>948</v>
      </c>
      <c r="AE8" s="77" t="s">
        <v>784</v>
      </c>
      <c r="AF8" s="77" t="s">
        <v>948</v>
      </c>
      <c r="AG8" s="1632"/>
      <c r="AJ8" s="77" t="s">
        <v>1889</v>
      </c>
      <c r="AK8" s="77" t="s">
        <v>1890</v>
      </c>
      <c r="AL8" s="77" t="s">
        <v>1891</v>
      </c>
      <c r="AM8" s="77" t="s">
        <v>1889</v>
      </c>
      <c r="AN8" s="77" t="s">
        <v>1890</v>
      </c>
      <c r="AO8" s="77" t="s">
        <v>1891</v>
      </c>
      <c r="AP8" s="77" t="s">
        <v>1889</v>
      </c>
      <c r="AQ8" s="77" t="s">
        <v>1890</v>
      </c>
      <c r="AR8" s="77" t="s">
        <v>1891</v>
      </c>
      <c r="AS8" s="77" t="s">
        <v>1889</v>
      </c>
      <c r="AT8" s="77" t="s">
        <v>1890</v>
      </c>
      <c r="AU8" s="77" t="s">
        <v>1891</v>
      </c>
      <c r="AV8" s="77" t="s">
        <v>1889</v>
      </c>
      <c r="AW8" s="77" t="s">
        <v>1890</v>
      </c>
      <c r="AX8" s="77" t="s">
        <v>1891</v>
      </c>
      <c r="AY8" s="77" t="s">
        <v>1889</v>
      </c>
      <c r="AZ8" s="77" t="s">
        <v>1890</v>
      </c>
      <c r="BA8" s="77" t="s">
        <v>1891</v>
      </c>
    </row>
    <row r="9" spans="1:53" ht="12.75" customHeight="1" x14ac:dyDescent="0.25">
      <c r="A9" s="274">
        <v>1</v>
      </c>
      <c r="B9" s="274" t="s">
        <v>802</v>
      </c>
      <c r="C9" s="274" t="s">
        <v>625</v>
      </c>
      <c r="D9" s="275">
        <v>3.8610000000000002</v>
      </c>
      <c r="E9" s="276">
        <f>+D9/25.4</f>
        <v>0.15200787401574806</v>
      </c>
      <c r="F9" s="275">
        <v>11.68</v>
      </c>
      <c r="G9" s="277">
        <f>+F9/645.16</f>
        <v>1.8104036208072417E-2</v>
      </c>
      <c r="H9" s="278">
        <f>+AC9*(1+(($I$4)*($I$3-75)))</f>
        <v>6.8795931758530218</v>
      </c>
      <c r="I9" s="278">
        <v>0.2230971128608924</v>
      </c>
      <c r="J9" s="278">
        <f>+AE9*(1+(($I$5)*($I$3-75)))</f>
        <v>11.009255000000001</v>
      </c>
      <c r="K9" s="278">
        <v>0.2230971128608924</v>
      </c>
      <c r="L9" s="274">
        <f t="shared" ref="L9:Q9" si="0">+IF($I$3="60",AJ9,IF($I$3="75",AP9,IF($I$3="90",AV9,"ALGO SE ENCUENTRA MAL")))</f>
        <v>30</v>
      </c>
      <c r="M9" s="274">
        <f t="shared" si="0"/>
        <v>40</v>
      </c>
      <c r="N9" s="274">
        <f t="shared" si="0"/>
        <v>33</v>
      </c>
      <c r="O9" s="274">
        <f t="shared" si="0"/>
        <v>25</v>
      </c>
      <c r="P9" s="274">
        <f t="shared" si="0"/>
        <v>35</v>
      </c>
      <c r="Q9" s="274">
        <f t="shared" si="0"/>
        <v>29</v>
      </c>
      <c r="R9" s="274">
        <v>3.1</v>
      </c>
      <c r="S9" s="76">
        <v>5.31</v>
      </c>
      <c r="T9" s="149">
        <f t="shared" ref="T9:T62" si="1">(F9/(0.0005067*1000))</f>
        <v>23.051115058219853</v>
      </c>
      <c r="V9" s="82">
        <v>3.31</v>
      </c>
      <c r="W9" s="75">
        <f t="shared" ref="W9:W62" si="2">(V9/(0.0005067*1000))</f>
        <v>6.5324649694099071</v>
      </c>
      <c r="X9" s="274">
        <v>1</v>
      </c>
      <c r="Y9" s="76">
        <v>0.38</v>
      </c>
      <c r="Z9" s="76">
        <v>15.5</v>
      </c>
      <c r="AA9" s="144">
        <f>+(PI())*(((Z9)^(2))/(4))</f>
        <v>188.69190875623696</v>
      </c>
      <c r="AB9" s="274" t="s">
        <v>802</v>
      </c>
      <c r="AC9" s="258">
        <v>6.5616797900262496</v>
      </c>
      <c r="AD9" s="258">
        <v>0.2230971128608924</v>
      </c>
      <c r="AE9" s="258">
        <v>10.49</v>
      </c>
      <c r="AF9" s="258">
        <v>0.2230971128608924</v>
      </c>
      <c r="AG9" s="78" t="s">
        <v>804</v>
      </c>
      <c r="AJ9" s="274">
        <v>20</v>
      </c>
      <c r="AK9" s="274">
        <v>30</v>
      </c>
      <c r="AL9" s="279">
        <v>25</v>
      </c>
      <c r="AM9" s="274">
        <v>15</v>
      </c>
      <c r="AN9" s="274">
        <v>25</v>
      </c>
      <c r="AO9" s="153">
        <v>20</v>
      </c>
      <c r="AP9" s="274">
        <v>25</v>
      </c>
      <c r="AQ9" s="274">
        <v>35</v>
      </c>
      <c r="AR9" s="279">
        <v>25</v>
      </c>
      <c r="AS9" s="274">
        <v>20</v>
      </c>
      <c r="AT9" s="274">
        <v>30</v>
      </c>
      <c r="AU9" s="153">
        <v>20</v>
      </c>
      <c r="AV9" s="274">
        <v>30</v>
      </c>
      <c r="AW9" s="274">
        <v>40</v>
      </c>
      <c r="AX9" s="279">
        <v>33</v>
      </c>
      <c r="AY9" s="274">
        <v>25</v>
      </c>
      <c r="AZ9" s="274">
        <v>35</v>
      </c>
      <c r="BA9" s="279">
        <v>29</v>
      </c>
    </row>
    <row r="10" spans="1:53" ht="12.75" customHeight="1" x14ac:dyDescent="0.25">
      <c r="A10" s="78">
        <v>2</v>
      </c>
      <c r="B10" s="78" t="s">
        <v>804</v>
      </c>
      <c r="C10" s="78" t="s">
        <v>625</v>
      </c>
      <c r="D10" s="56">
        <v>4.47</v>
      </c>
      <c r="E10" s="57">
        <f>+D10/25.4</f>
        <v>0.17598425196850392</v>
      </c>
      <c r="F10" s="56">
        <v>15.68</v>
      </c>
      <c r="G10" s="273">
        <f t="shared" ref="G10:G62" si="3">+F10/645.16</f>
        <v>2.4304048608097217E-2</v>
      </c>
      <c r="H10" s="278">
        <f t="shared" ref="H10:H62" si="4">+AC10*(1+(($I$4)*($I$3-75)))</f>
        <v>4.1277559055118109</v>
      </c>
      <c r="I10" s="258">
        <v>0.20669291338582677</v>
      </c>
      <c r="J10" s="278">
        <f t="shared" ref="J10:J62" si="5">+AE10*(1+(($I$5)*($I$3-75)))</f>
        <v>6.8847200000000006</v>
      </c>
      <c r="K10" s="258">
        <v>0.20669291338582677</v>
      </c>
      <c r="L10" s="274">
        <f t="shared" ref="L10:L62" si="6">+IF($I$3="60",AJ10,IF($I$3="75",AP10,IF($I$3="90",AV10,"ALGO SE ENCUENTRA MAL")))</f>
        <v>40</v>
      </c>
      <c r="M10" s="274">
        <f t="shared" ref="M10:M62" si="7">+IF($I$3="60",AK10,IF($I$3="75",AQ10,IF($I$3="90",AW10,"ALGO SE ENCUENTRA MAL")))</f>
        <v>55</v>
      </c>
      <c r="N10" s="274">
        <f t="shared" ref="N10:N62" si="8">+IF($I$3="60",AL10,IF($I$3="75",AR10,IF($I$3="90",AX10,"ALGO SE ENCUENTRA MAL")))</f>
        <v>45</v>
      </c>
      <c r="O10" s="274">
        <f t="shared" ref="O10:O62" si="9">+IF($I$3="60",AM10,IF($I$3="75",AS10,IF($I$3="90",AY10,"ALGO SE ENCUENTRA MAL")))</f>
        <v>35</v>
      </c>
      <c r="P10" s="274">
        <f t="shared" ref="P10:P62" si="10">+IF($I$3="60",AN10,IF($I$3="75",AT10,IF($I$3="90",AZ10,"ALGO SE ENCUENTRA MAL")))</f>
        <v>40</v>
      </c>
      <c r="Q10" s="274">
        <f t="shared" ref="Q10:Q62" si="11">+IF($I$3="60",AO10,IF($I$3="75",AU10,IF($I$3="90",BA10,"ALGO SE ENCUENTRA MAL")))</f>
        <v>33</v>
      </c>
      <c r="R10" s="78">
        <v>3.1</v>
      </c>
      <c r="S10" s="76">
        <v>3.34</v>
      </c>
      <c r="T10" s="149">
        <f t="shared" si="1"/>
        <v>30.945332543911583</v>
      </c>
      <c r="V10" s="83">
        <v>5.2610000000000001</v>
      </c>
      <c r="W10" s="75">
        <f t="shared" si="2"/>
        <v>10.382869548056048</v>
      </c>
      <c r="X10" s="78">
        <v>2</v>
      </c>
      <c r="Y10" s="76">
        <v>0.51</v>
      </c>
      <c r="Z10" s="76">
        <v>18.399999999999999</v>
      </c>
      <c r="AA10" s="144">
        <f t="shared" ref="AA10:AA62" si="12">+(PI())*(((Z10)^(2))/(4))</f>
        <v>265.90440219984004</v>
      </c>
      <c r="AB10" s="78" t="s">
        <v>804</v>
      </c>
      <c r="AC10" s="258">
        <v>3.9370078740157477</v>
      </c>
      <c r="AD10" s="258">
        <v>0.20669291338582677</v>
      </c>
      <c r="AE10" s="258">
        <v>6.56</v>
      </c>
      <c r="AF10" s="258">
        <v>0.20669291338582677</v>
      </c>
      <c r="AG10" s="78" t="s">
        <v>806</v>
      </c>
      <c r="AJ10" s="78">
        <v>30</v>
      </c>
      <c r="AK10" s="78">
        <v>40</v>
      </c>
      <c r="AL10" s="153">
        <v>38</v>
      </c>
      <c r="AM10" s="78">
        <v>25</v>
      </c>
      <c r="AN10" s="78">
        <v>35</v>
      </c>
      <c r="AO10" s="153">
        <v>29</v>
      </c>
      <c r="AP10" s="78">
        <v>35</v>
      </c>
      <c r="AQ10" s="78">
        <v>50</v>
      </c>
      <c r="AR10" s="153">
        <v>38</v>
      </c>
      <c r="AS10" s="78">
        <v>30</v>
      </c>
      <c r="AT10" s="78">
        <v>40</v>
      </c>
      <c r="AU10" s="153">
        <v>29</v>
      </c>
      <c r="AV10" s="78">
        <v>40</v>
      </c>
      <c r="AW10" s="78">
        <v>55</v>
      </c>
      <c r="AX10" s="153">
        <v>45</v>
      </c>
      <c r="AY10" s="78">
        <v>35</v>
      </c>
      <c r="AZ10" s="78">
        <v>40</v>
      </c>
      <c r="BA10" s="153">
        <v>33</v>
      </c>
    </row>
    <row r="11" spans="1:53" ht="12.75" customHeight="1" x14ac:dyDescent="0.25">
      <c r="A11" s="78">
        <v>3</v>
      </c>
      <c r="B11" s="78" t="s">
        <v>806</v>
      </c>
      <c r="C11" s="78" t="s">
        <v>625</v>
      </c>
      <c r="D11" s="56">
        <v>5.9939999999999998</v>
      </c>
      <c r="E11" s="57">
        <f t="shared" ref="E11:E62" si="13">+D11/25.4</f>
        <v>0.23598425196850395</v>
      </c>
      <c r="F11" s="56">
        <v>28.19</v>
      </c>
      <c r="G11" s="273">
        <f t="shared" si="3"/>
        <v>4.3694587389174783E-2</v>
      </c>
      <c r="H11" s="278">
        <f t="shared" si="4"/>
        <v>2.6830413385826772</v>
      </c>
      <c r="I11" s="258">
        <v>0.21325459317585302</v>
      </c>
      <c r="J11" s="278">
        <f t="shared" si="5"/>
        <v>4.4813650000000003</v>
      </c>
      <c r="K11" s="258">
        <v>0.21325459317585302</v>
      </c>
      <c r="L11" s="274">
        <f t="shared" si="6"/>
        <v>55</v>
      </c>
      <c r="M11" s="274">
        <f t="shared" si="7"/>
        <v>80</v>
      </c>
      <c r="N11" s="274">
        <f t="shared" si="8"/>
        <v>66</v>
      </c>
      <c r="O11" s="274">
        <f t="shared" si="9"/>
        <v>45</v>
      </c>
      <c r="P11" s="274">
        <f t="shared" si="10"/>
        <v>60</v>
      </c>
      <c r="Q11" s="274">
        <f t="shared" si="11"/>
        <v>51</v>
      </c>
      <c r="R11" s="78">
        <v>3.1</v>
      </c>
      <c r="S11" s="76">
        <v>2.1</v>
      </c>
      <c r="T11" s="149">
        <f t="shared" si="1"/>
        <v>55.63449773041247</v>
      </c>
      <c r="V11" s="83">
        <v>8.3569999999999993</v>
      </c>
      <c r="W11" s="75">
        <f t="shared" si="2"/>
        <v>16.492993881981445</v>
      </c>
      <c r="X11" s="78">
        <v>3</v>
      </c>
      <c r="Y11" s="76">
        <v>0.76</v>
      </c>
      <c r="Z11" s="76">
        <v>20.100000000000001</v>
      </c>
      <c r="AA11" s="144">
        <f t="shared" si="12"/>
        <v>317.30871199420312</v>
      </c>
      <c r="AB11" s="78" t="s">
        <v>806</v>
      </c>
      <c r="AC11" s="258">
        <v>2.5590551181102361</v>
      </c>
      <c r="AD11" s="258">
        <v>0.21325459317585302</v>
      </c>
      <c r="AE11" s="258">
        <v>4.2699999999999996</v>
      </c>
      <c r="AF11" s="258">
        <v>0.21325459317585302</v>
      </c>
      <c r="AG11" s="78" t="s">
        <v>808</v>
      </c>
      <c r="AJ11" s="78">
        <v>40</v>
      </c>
      <c r="AK11" s="78">
        <v>60</v>
      </c>
      <c r="AL11" s="78">
        <v>57</v>
      </c>
      <c r="AM11" s="78">
        <v>35</v>
      </c>
      <c r="AN11" s="78">
        <v>45</v>
      </c>
      <c r="AO11" s="78">
        <v>44</v>
      </c>
      <c r="AP11" s="78">
        <v>50</v>
      </c>
      <c r="AQ11" s="78">
        <v>70</v>
      </c>
      <c r="AR11" s="78">
        <v>57</v>
      </c>
      <c r="AS11" s="78">
        <v>40</v>
      </c>
      <c r="AT11" s="78">
        <v>55</v>
      </c>
      <c r="AU11" s="78">
        <v>44</v>
      </c>
      <c r="AV11" s="78">
        <v>55</v>
      </c>
      <c r="AW11" s="78">
        <v>80</v>
      </c>
      <c r="AX11" s="78">
        <v>66</v>
      </c>
      <c r="AY11" s="78">
        <v>45</v>
      </c>
      <c r="AZ11" s="78">
        <v>60</v>
      </c>
      <c r="BA11" s="78">
        <v>51</v>
      </c>
    </row>
    <row r="12" spans="1:53" ht="12.75" customHeight="1" x14ac:dyDescent="0.25">
      <c r="A12" s="78">
        <v>4</v>
      </c>
      <c r="B12" s="78" t="s">
        <v>808</v>
      </c>
      <c r="C12" s="78" t="s">
        <v>625</v>
      </c>
      <c r="D12" s="56">
        <v>6.96</v>
      </c>
      <c r="E12" s="57">
        <f t="shared" si="13"/>
        <v>0.27401574803149609</v>
      </c>
      <c r="F12" s="56">
        <v>38.06</v>
      </c>
      <c r="G12" s="273">
        <f t="shared" si="3"/>
        <v>5.8993117986235979E-2</v>
      </c>
      <c r="H12" s="278">
        <f t="shared" si="4"/>
        <v>1.6855003280839895</v>
      </c>
      <c r="I12" s="258">
        <v>0.20997375328083989</v>
      </c>
      <c r="J12" s="278">
        <f t="shared" si="5"/>
        <v>2.7916700000000003</v>
      </c>
      <c r="K12" s="258">
        <v>0.20997375328083989</v>
      </c>
      <c r="L12" s="274">
        <f t="shared" si="6"/>
        <v>75</v>
      </c>
      <c r="M12" s="274">
        <f t="shared" si="7"/>
        <v>105</v>
      </c>
      <c r="N12" s="274">
        <f t="shared" si="8"/>
        <v>89</v>
      </c>
      <c r="O12" s="274">
        <f t="shared" si="9"/>
        <v>60</v>
      </c>
      <c r="P12" s="274">
        <f t="shared" si="10"/>
        <v>80</v>
      </c>
      <c r="Q12" s="274">
        <f t="shared" si="11"/>
        <v>69</v>
      </c>
      <c r="R12" s="78">
        <v>5</v>
      </c>
      <c r="S12" s="76">
        <v>1.32</v>
      </c>
      <c r="T12" s="149">
        <f t="shared" si="1"/>
        <v>75.113479376356821</v>
      </c>
      <c r="V12" s="83">
        <v>13.3</v>
      </c>
      <c r="W12" s="75">
        <f t="shared" si="2"/>
        <v>26.248273139925004</v>
      </c>
      <c r="X12" s="78">
        <v>4</v>
      </c>
      <c r="Y12" s="76">
        <v>0.76</v>
      </c>
      <c r="Z12" s="76">
        <v>23.4</v>
      </c>
      <c r="AA12" s="144">
        <f t="shared" si="12"/>
        <v>430.05261834990671</v>
      </c>
      <c r="AB12" s="78" t="s">
        <v>808</v>
      </c>
      <c r="AC12" s="258">
        <v>1.6076115485564304</v>
      </c>
      <c r="AD12" s="258">
        <v>0.20997375328083989</v>
      </c>
      <c r="AE12" s="258">
        <v>2.66</v>
      </c>
      <c r="AF12" s="258">
        <v>0.20997375328083989</v>
      </c>
      <c r="AG12" s="78" t="s">
        <v>810</v>
      </c>
      <c r="AJ12" s="78">
        <v>55</v>
      </c>
      <c r="AK12" s="78">
        <v>80</v>
      </c>
      <c r="AL12" s="78">
        <v>76</v>
      </c>
      <c r="AM12" s="78">
        <v>40</v>
      </c>
      <c r="AN12" s="78">
        <v>60</v>
      </c>
      <c r="AO12" s="78">
        <v>59</v>
      </c>
      <c r="AP12" s="78">
        <v>65</v>
      </c>
      <c r="AQ12" s="78">
        <v>95</v>
      </c>
      <c r="AR12" s="78">
        <v>76</v>
      </c>
      <c r="AS12" s="78">
        <v>50</v>
      </c>
      <c r="AT12" s="78">
        <v>75</v>
      </c>
      <c r="AU12" s="78">
        <v>59</v>
      </c>
      <c r="AV12" s="78">
        <v>75</v>
      </c>
      <c r="AW12" s="78">
        <v>105</v>
      </c>
      <c r="AX12" s="78">
        <v>89</v>
      </c>
      <c r="AY12" s="78">
        <v>60</v>
      </c>
      <c r="AZ12" s="78">
        <v>80</v>
      </c>
      <c r="BA12" s="78">
        <v>69</v>
      </c>
    </row>
    <row r="13" spans="1:53" ht="12.75" customHeight="1" x14ac:dyDescent="0.25">
      <c r="A13" s="78">
        <v>5</v>
      </c>
      <c r="B13" s="78" t="s">
        <v>810</v>
      </c>
      <c r="C13" s="78" t="s">
        <v>625</v>
      </c>
      <c r="D13" s="56">
        <v>8.1790000000000003</v>
      </c>
      <c r="E13" s="57">
        <f t="shared" si="13"/>
        <v>0.32200787401574804</v>
      </c>
      <c r="F13" s="56">
        <v>52.52</v>
      </c>
      <c r="G13" s="273">
        <f t="shared" si="3"/>
        <v>8.1406162812325628E-2</v>
      </c>
      <c r="H13" s="278">
        <f t="shared" si="4"/>
        <v>1.0663369422572178</v>
      </c>
      <c r="I13" s="258">
        <v>0.19685039370078738</v>
      </c>
      <c r="J13" s="278">
        <f t="shared" si="5"/>
        <v>1.7526650000000001</v>
      </c>
      <c r="K13" s="258">
        <v>0.19685039370078738</v>
      </c>
      <c r="L13" s="274">
        <f t="shared" si="6"/>
        <v>95</v>
      </c>
      <c r="M13" s="274">
        <f t="shared" si="7"/>
        <v>140</v>
      </c>
      <c r="N13" s="274">
        <f t="shared" si="8"/>
        <v>117</v>
      </c>
      <c r="O13" s="274">
        <f t="shared" si="9"/>
        <v>75</v>
      </c>
      <c r="P13" s="274">
        <f t="shared" si="10"/>
        <v>115</v>
      </c>
      <c r="Q13" s="274">
        <f t="shared" si="11"/>
        <v>91</v>
      </c>
      <c r="R13" s="78">
        <v>8</v>
      </c>
      <c r="S13" s="76">
        <v>0.83199999999999996</v>
      </c>
      <c r="T13" s="149">
        <f t="shared" si="1"/>
        <v>103.65107558713242</v>
      </c>
      <c r="V13" s="83">
        <v>21.15</v>
      </c>
      <c r="W13" s="75">
        <f t="shared" si="2"/>
        <v>41.740674955595019</v>
      </c>
      <c r="X13" s="78">
        <v>5</v>
      </c>
      <c r="Y13" s="76">
        <v>1.02</v>
      </c>
      <c r="Z13" s="76">
        <v>24.4</v>
      </c>
      <c r="AA13" s="144">
        <f t="shared" si="12"/>
        <v>467.59465056030473</v>
      </c>
      <c r="AB13" s="78" t="s">
        <v>810</v>
      </c>
      <c r="AC13" s="258">
        <v>1.0170603674540681</v>
      </c>
      <c r="AD13" s="258">
        <v>0.19685039370078738</v>
      </c>
      <c r="AE13" s="258">
        <v>1.67</v>
      </c>
      <c r="AF13" s="258">
        <v>0.19685039370078738</v>
      </c>
      <c r="AG13" s="78" t="s">
        <v>609</v>
      </c>
      <c r="AJ13" s="78">
        <v>70</v>
      </c>
      <c r="AK13" s="78">
        <v>105</v>
      </c>
      <c r="AL13" s="78">
        <v>101</v>
      </c>
      <c r="AM13" s="78">
        <v>55</v>
      </c>
      <c r="AN13" s="78">
        <v>80</v>
      </c>
      <c r="AO13" s="78">
        <v>78</v>
      </c>
      <c r="AP13" s="78">
        <v>85</v>
      </c>
      <c r="AQ13" s="78">
        <v>125</v>
      </c>
      <c r="AR13" s="78">
        <v>101</v>
      </c>
      <c r="AS13" s="78">
        <v>65</v>
      </c>
      <c r="AT13" s="78">
        <v>100</v>
      </c>
      <c r="AU13" s="78">
        <v>78</v>
      </c>
      <c r="AV13" s="78">
        <v>95</v>
      </c>
      <c r="AW13" s="78">
        <v>140</v>
      </c>
      <c r="AX13" s="78">
        <v>117</v>
      </c>
      <c r="AY13" s="78">
        <v>75</v>
      </c>
      <c r="AZ13" s="78">
        <v>115</v>
      </c>
      <c r="BA13" s="78">
        <v>91</v>
      </c>
    </row>
    <row r="14" spans="1:53" ht="12.75" customHeight="1" x14ac:dyDescent="0.25">
      <c r="A14" s="78">
        <v>6</v>
      </c>
      <c r="B14" s="78" t="s">
        <v>609</v>
      </c>
      <c r="C14" s="78" t="s">
        <v>625</v>
      </c>
      <c r="D14" s="151">
        <v>9.7029999999999994</v>
      </c>
      <c r="E14" s="57">
        <f t="shared" si="13"/>
        <v>0.38200787401574804</v>
      </c>
      <c r="F14" s="56">
        <v>73.94</v>
      </c>
      <c r="G14" s="273">
        <f t="shared" si="3"/>
        <v>0.11460722921445843</v>
      </c>
      <c r="H14" s="278">
        <f t="shared" si="4"/>
        <v>0.68795931758530193</v>
      </c>
      <c r="I14" s="258">
        <v>0.18700787401574803</v>
      </c>
      <c r="J14" s="278">
        <f t="shared" si="5"/>
        <v>1.1019750000000001</v>
      </c>
      <c r="K14" s="258">
        <v>0.18700787401574803</v>
      </c>
      <c r="L14" s="274">
        <f t="shared" si="6"/>
        <v>130</v>
      </c>
      <c r="M14" s="274">
        <f t="shared" si="7"/>
        <v>190</v>
      </c>
      <c r="N14" s="274">
        <f t="shared" si="8"/>
        <v>158</v>
      </c>
      <c r="O14" s="274">
        <f t="shared" si="9"/>
        <v>100</v>
      </c>
      <c r="P14" s="274">
        <f t="shared" si="10"/>
        <v>150</v>
      </c>
      <c r="Q14" s="274">
        <f t="shared" si="11"/>
        <v>123</v>
      </c>
      <c r="R14" s="78">
        <v>12</v>
      </c>
      <c r="S14" s="76">
        <v>0.52300000000000002</v>
      </c>
      <c r="T14" s="149">
        <f t="shared" si="1"/>
        <v>145.92461022301163</v>
      </c>
      <c r="V14" s="83">
        <v>33.619999999999997</v>
      </c>
      <c r="W14" s="75">
        <f t="shared" si="2"/>
        <v>66.350897967238993</v>
      </c>
      <c r="X14" s="78">
        <v>6</v>
      </c>
      <c r="Y14" s="76">
        <v>1.02</v>
      </c>
      <c r="Z14" s="76">
        <v>27.7</v>
      </c>
      <c r="AA14" s="147">
        <f t="shared" si="12"/>
        <v>602.62815679322807</v>
      </c>
      <c r="AB14" s="78" t="s">
        <v>609</v>
      </c>
      <c r="AC14" s="258">
        <v>0.65616797900262469</v>
      </c>
      <c r="AD14" s="258">
        <v>0.18700787401574803</v>
      </c>
      <c r="AE14" s="258">
        <v>1.05</v>
      </c>
      <c r="AF14" s="258">
        <v>0.18700787401574803</v>
      </c>
      <c r="AG14" s="78" t="s">
        <v>598</v>
      </c>
      <c r="AJ14" s="78">
        <v>95</v>
      </c>
      <c r="AK14" s="78">
        <v>140</v>
      </c>
      <c r="AL14" s="78">
        <v>135</v>
      </c>
      <c r="AM14" s="78">
        <v>75</v>
      </c>
      <c r="AN14" s="78">
        <v>110</v>
      </c>
      <c r="AO14" s="78">
        <v>106</v>
      </c>
      <c r="AP14" s="78">
        <v>115</v>
      </c>
      <c r="AQ14" s="78">
        <v>170</v>
      </c>
      <c r="AR14" s="78">
        <v>135</v>
      </c>
      <c r="AS14" s="78">
        <v>90</v>
      </c>
      <c r="AT14" s="78">
        <v>135</v>
      </c>
      <c r="AU14" s="78">
        <v>106</v>
      </c>
      <c r="AV14" s="78">
        <v>130</v>
      </c>
      <c r="AW14" s="78">
        <v>190</v>
      </c>
      <c r="AX14" s="78">
        <v>158</v>
      </c>
      <c r="AY14" s="78">
        <v>100</v>
      </c>
      <c r="AZ14" s="78">
        <v>150</v>
      </c>
      <c r="BA14" s="78">
        <v>123</v>
      </c>
    </row>
    <row r="15" spans="1:53" ht="12.75" customHeight="1" x14ac:dyDescent="0.25">
      <c r="A15" s="78">
        <v>7</v>
      </c>
      <c r="B15" s="78" t="s">
        <v>598</v>
      </c>
      <c r="C15" s="78" t="s">
        <v>625</v>
      </c>
      <c r="D15" s="56">
        <v>12.24</v>
      </c>
      <c r="E15" s="57">
        <f t="shared" si="13"/>
        <v>0.48188976377952758</v>
      </c>
      <c r="F15" s="796">
        <v>117.7</v>
      </c>
      <c r="G15" s="273">
        <f t="shared" si="3"/>
        <v>0.18243536487072975</v>
      </c>
      <c r="H15" s="278">
        <f t="shared" si="4"/>
        <v>0.41277559055118113</v>
      </c>
      <c r="I15" s="258">
        <v>0.18044619422572178</v>
      </c>
      <c r="J15" s="278">
        <f t="shared" si="5"/>
        <v>0.68847200000000008</v>
      </c>
      <c r="K15" s="258">
        <v>0.18044619422572178</v>
      </c>
      <c r="L15" s="274">
        <f t="shared" si="6"/>
        <v>170</v>
      </c>
      <c r="M15" s="274">
        <f t="shared" si="7"/>
        <v>260</v>
      </c>
      <c r="N15" s="274">
        <f t="shared" si="8"/>
        <v>214</v>
      </c>
      <c r="O15" s="274">
        <f t="shared" si="9"/>
        <v>135</v>
      </c>
      <c r="P15" s="274">
        <f t="shared" si="10"/>
        <v>205</v>
      </c>
      <c r="Q15" s="274">
        <f t="shared" si="11"/>
        <v>167</v>
      </c>
      <c r="R15" s="78">
        <v>20</v>
      </c>
      <c r="S15" s="76">
        <v>0.32900000000000001</v>
      </c>
      <c r="T15" s="149">
        <f t="shared" si="1"/>
        <v>232.28734951647917</v>
      </c>
      <c r="V15" s="83">
        <v>53.21</v>
      </c>
      <c r="W15" s="75">
        <f t="shared" si="2"/>
        <v>105.01282810341424</v>
      </c>
      <c r="X15" s="78">
        <v>7</v>
      </c>
      <c r="Y15" s="76">
        <v>1.27</v>
      </c>
      <c r="Z15" s="76">
        <v>33</v>
      </c>
      <c r="AA15" s="147">
        <f t="shared" si="12"/>
        <v>855.2985999398212</v>
      </c>
      <c r="AB15" s="78" t="s">
        <v>598</v>
      </c>
      <c r="AC15" s="258">
        <v>0.39370078740157477</v>
      </c>
      <c r="AD15" s="258">
        <v>0.18044619422572178</v>
      </c>
      <c r="AE15" s="258">
        <v>0.65600000000000003</v>
      </c>
      <c r="AF15" s="258">
        <v>0.18044619422572178</v>
      </c>
      <c r="AG15" s="78" t="s">
        <v>814</v>
      </c>
      <c r="AJ15" s="78">
        <v>125</v>
      </c>
      <c r="AK15" s="78">
        <v>195</v>
      </c>
      <c r="AL15" s="78">
        <v>183</v>
      </c>
      <c r="AM15" s="78">
        <v>100</v>
      </c>
      <c r="AN15" s="78">
        <v>150</v>
      </c>
      <c r="AO15" s="78">
        <v>143</v>
      </c>
      <c r="AP15" s="78">
        <v>150</v>
      </c>
      <c r="AQ15" s="78">
        <v>230</v>
      </c>
      <c r="AR15" s="78">
        <v>183</v>
      </c>
      <c r="AS15" s="78">
        <v>120</v>
      </c>
      <c r="AT15" s="78">
        <v>180</v>
      </c>
      <c r="AU15" s="78">
        <v>143</v>
      </c>
      <c r="AV15" s="78">
        <v>170</v>
      </c>
      <c r="AW15" s="78">
        <v>260</v>
      </c>
      <c r="AX15" s="78">
        <v>214</v>
      </c>
      <c r="AY15" s="78">
        <v>135</v>
      </c>
      <c r="AZ15" s="78">
        <v>205</v>
      </c>
      <c r="BA15" s="78">
        <v>167</v>
      </c>
    </row>
    <row r="16" spans="1:53" ht="12.75" customHeight="1" x14ac:dyDescent="0.25">
      <c r="A16" s="78">
        <v>8</v>
      </c>
      <c r="B16" s="78" t="s">
        <v>814</v>
      </c>
      <c r="C16" s="78" t="s">
        <v>625</v>
      </c>
      <c r="D16" s="56">
        <v>13.41</v>
      </c>
      <c r="E16" s="57">
        <f t="shared" si="13"/>
        <v>0.52795275590551183</v>
      </c>
      <c r="F16" s="56">
        <v>141.30000000000001</v>
      </c>
      <c r="G16" s="273">
        <f t="shared" si="3"/>
        <v>0.21901543803087609</v>
      </c>
      <c r="H16" s="278">
        <f t="shared" si="4"/>
        <v>0.34397965879265097</v>
      </c>
      <c r="I16" s="258">
        <v>0.17716535433070865</v>
      </c>
      <c r="J16" s="278">
        <f t="shared" si="5"/>
        <v>0.55098750000000007</v>
      </c>
      <c r="K16" s="258">
        <v>0.17716535433070865</v>
      </c>
      <c r="L16" s="274">
        <f t="shared" si="6"/>
        <v>195</v>
      </c>
      <c r="M16" s="274">
        <f t="shared" si="7"/>
        <v>300</v>
      </c>
      <c r="N16" s="274">
        <f t="shared" si="8"/>
        <v>247</v>
      </c>
      <c r="O16" s="274">
        <f t="shared" si="9"/>
        <v>150</v>
      </c>
      <c r="P16" s="274">
        <f t="shared" si="10"/>
        <v>235</v>
      </c>
      <c r="Q16" s="274">
        <f t="shared" si="11"/>
        <v>193</v>
      </c>
      <c r="R16" s="78">
        <v>24</v>
      </c>
      <c r="S16" s="76">
        <v>0.26100000000000001</v>
      </c>
      <c r="T16" s="149">
        <f t="shared" si="1"/>
        <v>278.86323268206041</v>
      </c>
      <c r="V16" s="83">
        <v>66.87</v>
      </c>
      <c r="W16" s="75">
        <f t="shared" si="2"/>
        <v>131.97158081705152</v>
      </c>
      <c r="X16" s="78">
        <v>8</v>
      </c>
      <c r="Y16" s="76">
        <v>1.27</v>
      </c>
      <c r="Z16" s="76">
        <v>35.4</v>
      </c>
      <c r="AA16" s="144">
        <f t="shared" si="12"/>
        <v>984.22956244314616</v>
      </c>
      <c r="AB16" s="78" t="s">
        <v>814</v>
      </c>
      <c r="AC16" s="258">
        <v>0.32808398950131235</v>
      </c>
      <c r="AD16" s="258">
        <v>0.17716535433070865</v>
      </c>
      <c r="AE16" s="258">
        <v>0.52500000000000002</v>
      </c>
      <c r="AF16" s="258">
        <v>0.17716535433070865</v>
      </c>
      <c r="AG16" s="78" t="s">
        <v>816</v>
      </c>
      <c r="AJ16" s="78">
        <v>145</v>
      </c>
      <c r="AK16" s="78">
        <v>225</v>
      </c>
      <c r="AL16" s="78">
        <v>212</v>
      </c>
      <c r="AM16" s="78">
        <v>115</v>
      </c>
      <c r="AN16" s="78">
        <v>175</v>
      </c>
      <c r="AO16" s="78">
        <v>165</v>
      </c>
      <c r="AP16" s="78">
        <v>175</v>
      </c>
      <c r="AQ16" s="78">
        <v>265</v>
      </c>
      <c r="AR16" s="78">
        <v>212</v>
      </c>
      <c r="AS16" s="78">
        <v>135</v>
      </c>
      <c r="AT16" s="78">
        <v>210</v>
      </c>
      <c r="AU16" s="78">
        <v>165</v>
      </c>
      <c r="AV16" s="78">
        <v>195</v>
      </c>
      <c r="AW16" s="78">
        <v>300</v>
      </c>
      <c r="AX16" s="78">
        <v>247</v>
      </c>
      <c r="AY16" s="78">
        <v>150</v>
      </c>
      <c r="AZ16" s="78">
        <v>235</v>
      </c>
      <c r="BA16" s="78">
        <v>193</v>
      </c>
    </row>
    <row r="17" spans="1:53" ht="12.75" customHeight="1" x14ac:dyDescent="0.25">
      <c r="A17" s="78">
        <v>9</v>
      </c>
      <c r="B17" s="78" t="s">
        <v>816</v>
      </c>
      <c r="C17" s="78" t="s">
        <v>625</v>
      </c>
      <c r="D17" s="56">
        <v>14.73</v>
      </c>
      <c r="E17" s="57">
        <f t="shared" si="13"/>
        <v>0.57992125984251974</v>
      </c>
      <c r="F17" s="56">
        <v>170.5</v>
      </c>
      <c r="G17" s="273">
        <f t="shared" si="3"/>
        <v>0.26427552855105713</v>
      </c>
      <c r="H17" s="278">
        <f t="shared" si="4"/>
        <v>0.27174393044619422</v>
      </c>
      <c r="I17" s="258">
        <v>0.1706036745406824</v>
      </c>
      <c r="J17" s="278">
        <f t="shared" si="5"/>
        <v>0.44813650000000005</v>
      </c>
      <c r="K17" s="258">
        <v>0.1706036745406824</v>
      </c>
      <c r="L17" s="274">
        <f t="shared" si="6"/>
        <v>225</v>
      </c>
      <c r="M17" s="274">
        <f t="shared" si="7"/>
        <v>350</v>
      </c>
      <c r="N17" s="274">
        <f t="shared" si="8"/>
        <v>287</v>
      </c>
      <c r="O17" s="274">
        <f t="shared" si="9"/>
        <v>175</v>
      </c>
      <c r="P17" s="274">
        <f t="shared" si="10"/>
        <v>275</v>
      </c>
      <c r="Q17" s="274">
        <f t="shared" si="11"/>
        <v>224</v>
      </c>
      <c r="R17" s="78">
        <v>30</v>
      </c>
      <c r="S17" s="76">
        <v>0.20699999999999999</v>
      </c>
      <c r="T17" s="149">
        <f t="shared" si="1"/>
        <v>336.49102032760999</v>
      </c>
      <c r="U17" s="291"/>
      <c r="V17" s="83">
        <v>85.59</v>
      </c>
      <c r="W17" s="75">
        <f t="shared" si="2"/>
        <v>168.91651865008879</v>
      </c>
      <c r="X17" s="78">
        <v>9</v>
      </c>
      <c r="Y17" s="76">
        <v>1.27</v>
      </c>
      <c r="Z17" s="76">
        <v>35.97</v>
      </c>
      <c r="AA17" s="147">
        <f t="shared" si="12"/>
        <v>1016.1802665885015</v>
      </c>
      <c r="AB17" s="78" t="s">
        <v>816</v>
      </c>
      <c r="AC17" s="258">
        <v>0.25918635170603671</v>
      </c>
      <c r="AD17" s="258">
        <v>0.1706036745406824</v>
      </c>
      <c r="AE17" s="258">
        <v>0.42699999999999999</v>
      </c>
      <c r="AF17" s="258">
        <v>0.1706036745406824</v>
      </c>
      <c r="AG17" s="78" t="s">
        <v>818</v>
      </c>
      <c r="AJ17" s="78">
        <v>165</v>
      </c>
      <c r="AK17" s="78">
        <v>260</v>
      </c>
      <c r="AL17" s="78">
        <v>245</v>
      </c>
      <c r="AM17" s="78">
        <v>130</v>
      </c>
      <c r="AN17" s="78">
        <v>200</v>
      </c>
      <c r="AO17" s="78">
        <v>192</v>
      </c>
      <c r="AP17" s="78">
        <v>200</v>
      </c>
      <c r="AQ17" s="78">
        <v>310</v>
      </c>
      <c r="AR17" s="78">
        <v>245</v>
      </c>
      <c r="AS17" s="78">
        <v>155</v>
      </c>
      <c r="AT17" s="78">
        <v>240</v>
      </c>
      <c r="AU17" s="78">
        <v>192</v>
      </c>
      <c r="AV17" s="78">
        <v>225</v>
      </c>
      <c r="AW17" s="78">
        <v>350</v>
      </c>
      <c r="AX17" s="78">
        <v>287</v>
      </c>
      <c r="AY17" s="78">
        <v>175</v>
      </c>
      <c r="AZ17" s="78">
        <v>275</v>
      </c>
      <c r="BA17" s="78">
        <v>224</v>
      </c>
    </row>
    <row r="18" spans="1:53" ht="12.75" customHeight="1" x14ac:dyDescent="0.25">
      <c r="A18" s="78">
        <v>10</v>
      </c>
      <c r="B18" s="78" t="s">
        <v>818</v>
      </c>
      <c r="C18" s="78" t="s">
        <v>625</v>
      </c>
      <c r="D18" s="56">
        <v>16.21</v>
      </c>
      <c r="E18" s="57">
        <f t="shared" si="13"/>
        <v>0.6381889763779528</v>
      </c>
      <c r="F18" s="56">
        <v>206.3</v>
      </c>
      <c r="G18" s="273">
        <f t="shared" si="3"/>
        <v>0.31976563953127912</v>
      </c>
      <c r="H18" s="278">
        <f t="shared" si="4"/>
        <v>0.21670718503937009</v>
      </c>
      <c r="I18" s="258">
        <v>0.16732283464566927</v>
      </c>
      <c r="J18" s="278">
        <f>+AE18*(1+(($I$5)*($I$3-75)))</f>
        <v>0.34423600000000004</v>
      </c>
      <c r="K18" s="258">
        <v>0.16732283464566927</v>
      </c>
      <c r="L18" s="274">
        <f t="shared" si="6"/>
        <v>260</v>
      </c>
      <c r="M18" s="274">
        <f t="shared" si="7"/>
        <v>405</v>
      </c>
      <c r="N18" s="274">
        <f t="shared" si="8"/>
        <v>335</v>
      </c>
      <c r="O18" s="274">
        <f t="shared" si="9"/>
        <v>205</v>
      </c>
      <c r="P18" s="274">
        <f t="shared" si="10"/>
        <v>315</v>
      </c>
      <c r="Q18" s="274">
        <f t="shared" si="11"/>
        <v>262</v>
      </c>
      <c r="R18" s="78">
        <v>38</v>
      </c>
      <c r="S18" s="76">
        <v>0.16400000000000001</v>
      </c>
      <c r="T18" s="149">
        <f t="shared" si="1"/>
        <v>407.14426682455098</v>
      </c>
      <c r="V18" s="83">
        <v>107</v>
      </c>
      <c r="W18" s="75">
        <f t="shared" si="2"/>
        <v>211.17031774225379</v>
      </c>
      <c r="X18" s="78">
        <v>10</v>
      </c>
      <c r="Y18" s="76">
        <v>1.27</v>
      </c>
      <c r="Z18" s="76">
        <v>44.4</v>
      </c>
      <c r="AA18" s="144">
        <f t="shared" si="12"/>
        <v>1548.3025233951935</v>
      </c>
      <c r="AB18" s="78" t="s">
        <v>818</v>
      </c>
      <c r="AC18" s="258">
        <v>0.20669291338582677</v>
      </c>
      <c r="AD18" s="258">
        <v>0.16732283464566927</v>
      </c>
      <c r="AE18" s="258">
        <v>0.32800000000000001</v>
      </c>
      <c r="AF18" s="258">
        <v>0.16732283464566927</v>
      </c>
      <c r="AG18" s="78" t="s">
        <v>964</v>
      </c>
      <c r="AH18" s="290"/>
      <c r="AJ18" s="78">
        <v>195</v>
      </c>
      <c r="AK18" s="78">
        <v>300</v>
      </c>
      <c r="AL18" s="78">
        <v>287</v>
      </c>
      <c r="AM18" s="78">
        <v>150</v>
      </c>
      <c r="AN18" s="78">
        <v>235</v>
      </c>
      <c r="AO18" s="78">
        <v>224</v>
      </c>
      <c r="AP18" s="78">
        <v>230</v>
      </c>
      <c r="AQ18" s="78">
        <v>360</v>
      </c>
      <c r="AR18" s="78">
        <v>287</v>
      </c>
      <c r="AS18" s="78">
        <v>180</v>
      </c>
      <c r="AT18" s="78">
        <v>280</v>
      </c>
      <c r="AU18" s="78">
        <v>224</v>
      </c>
      <c r="AV18" s="78">
        <v>260</v>
      </c>
      <c r="AW18" s="78">
        <v>405</v>
      </c>
      <c r="AX18" s="78">
        <v>335</v>
      </c>
      <c r="AY18" s="78">
        <v>205</v>
      </c>
      <c r="AZ18" s="78">
        <v>315</v>
      </c>
      <c r="BA18" s="78">
        <v>262</v>
      </c>
    </row>
    <row r="19" spans="1:53" ht="12.75" customHeight="1" x14ac:dyDescent="0.25">
      <c r="A19" s="78">
        <v>11</v>
      </c>
      <c r="B19" s="78" t="s">
        <v>964</v>
      </c>
      <c r="C19" s="78" t="s">
        <v>625</v>
      </c>
      <c r="D19" s="56">
        <v>17.91</v>
      </c>
      <c r="E19" s="57">
        <f t="shared" si="13"/>
        <v>0.70511811023622051</v>
      </c>
      <c r="F19" s="56">
        <v>251.9</v>
      </c>
      <c r="G19" s="273">
        <f t="shared" si="3"/>
        <v>0.39044578089156179</v>
      </c>
      <c r="H19" s="278">
        <f t="shared" si="4"/>
        <v>0.18574901574803152</v>
      </c>
      <c r="I19" s="258">
        <v>0.1706036745406824</v>
      </c>
      <c r="J19" s="278">
        <f t="shared" si="5"/>
        <v>0.29595899999999997</v>
      </c>
      <c r="K19" s="258">
        <v>0.1706036745406824</v>
      </c>
      <c r="L19" s="274">
        <f t="shared" si="6"/>
        <v>290</v>
      </c>
      <c r="M19" s="274">
        <f t="shared" si="7"/>
        <v>455</v>
      </c>
      <c r="N19" s="274">
        <f t="shared" si="8"/>
        <v>374</v>
      </c>
      <c r="O19" s="274">
        <f t="shared" si="9"/>
        <v>230</v>
      </c>
      <c r="P19" s="274">
        <f t="shared" si="10"/>
        <v>355</v>
      </c>
      <c r="Q19" s="274">
        <f t="shared" si="11"/>
        <v>292</v>
      </c>
      <c r="R19" s="78">
        <v>48</v>
      </c>
      <c r="S19" s="76">
        <v>0.13900000000000001</v>
      </c>
      <c r="T19" s="149">
        <f t="shared" si="1"/>
        <v>497.13834616143674</v>
      </c>
      <c r="V19" s="84">
        <v>126.5</v>
      </c>
      <c r="W19" s="75">
        <f t="shared" si="2"/>
        <v>249.65462798500096</v>
      </c>
      <c r="X19" s="78">
        <v>11</v>
      </c>
      <c r="Y19" s="76">
        <v>1.52</v>
      </c>
      <c r="Z19" s="76">
        <v>48.2</v>
      </c>
      <c r="AA19" s="144">
        <f t="shared" si="12"/>
        <v>1824.668429131488</v>
      </c>
      <c r="AB19" s="78" t="s">
        <v>964</v>
      </c>
      <c r="AC19" s="258">
        <v>0.17716535433070865</v>
      </c>
      <c r="AD19" s="258">
        <v>0.1706036745406824</v>
      </c>
      <c r="AE19" s="258">
        <v>0.28199999999999997</v>
      </c>
      <c r="AF19" s="258">
        <v>0.1706036745406824</v>
      </c>
      <c r="AG19" s="78" t="s">
        <v>965</v>
      </c>
      <c r="AH19" s="290"/>
      <c r="AJ19" s="78">
        <v>215</v>
      </c>
      <c r="AK19" s="78">
        <v>340</v>
      </c>
      <c r="AL19" s="78">
        <v>320</v>
      </c>
      <c r="AM19" s="78">
        <v>170</v>
      </c>
      <c r="AN19" s="78">
        <v>265</v>
      </c>
      <c r="AO19" s="78">
        <v>251</v>
      </c>
      <c r="AP19" s="78">
        <v>255</v>
      </c>
      <c r="AQ19" s="78">
        <v>405</v>
      </c>
      <c r="AR19" s="78">
        <v>320</v>
      </c>
      <c r="AS19" s="78">
        <v>205</v>
      </c>
      <c r="AT19" s="78">
        <v>315</v>
      </c>
      <c r="AU19" s="78">
        <v>251</v>
      </c>
      <c r="AV19" s="78">
        <v>290</v>
      </c>
      <c r="AW19" s="78">
        <v>455</v>
      </c>
      <c r="AX19" s="78">
        <v>374</v>
      </c>
      <c r="AY19" s="78">
        <v>230</v>
      </c>
      <c r="AZ19" s="78">
        <v>355</v>
      </c>
      <c r="BA19" s="78">
        <v>292</v>
      </c>
    </row>
    <row r="20" spans="1:53" s="794" customFormat="1" ht="12.75" customHeight="1" x14ac:dyDescent="0.25">
      <c r="A20" s="153">
        <v>12</v>
      </c>
      <c r="B20" s="153" t="s">
        <v>965</v>
      </c>
      <c r="C20" s="153" t="s">
        <v>625</v>
      </c>
      <c r="D20" s="789">
        <v>20.6</v>
      </c>
      <c r="E20" s="790">
        <f t="shared" si="13"/>
        <v>0.81102362204724421</v>
      </c>
      <c r="F20" s="796">
        <v>333.3</v>
      </c>
      <c r="G20" s="791">
        <f t="shared" si="3"/>
        <v>0.51661603323206651</v>
      </c>
      <c r="H20" s="792">
        <f t="shared" si="4"/>
        <v>0.13415206692913387</v>
      </c>
      <c r="I20" s="793">
        <v>0.16404199475065617</v>
      </c>
      <c r="J20" s="1200">
        <f t="shared" si="5"/>
        <v>0.216197</v>
      </c>
      <c r="K20" s="1199">
        <v>0.16404199475065617</v>
      </c>
      <c r="L20" s="279">
        <f t="shared" si="6"/>
        <v>350</v>
      </c>
      <c r="M20" s="279">
        <f t="shared" si="7"/>
        <v>570</v>
      </c>
      <c r="N20" s="279">
        <f t="shared" si="8"/>
        <v>464</v>
      </c>
      <c r="O20" s="279">
        <f t="shared" si="9"/>
        <v>280</v>
      </c>
      <c r="P20" s="279">
        <f t="shared" si="10"/>
        <v>445</v>
      </c>
      <c r="Q20" s="279">
        <f t="shared" si="11"/>
        <v>364</v>
      </c>
      <c r="R20" s="153">
        <v>65</v>
      </c>
      <c r="S20" s="161">
        <v>9.9199999999999997E-2</v>
      </c>
      <c r="T20" s="265">
        <f t="shared" si="1"/>
        <v>657.78567199526344</v>
      </c>
      <c r="U20" s="265"/>
      <c r="V20" s="82">
        <v>177.1</v>
      </c>
      <c r="W20" s="794">
        <f t="shared" si="2"/>
        <v>349.51647917900135</v>
      </c>
      <c r="X20" s="153">
        <v>12</v>
      </c>
      <c r="Y20" s="161">
        <v>1.52</v>
      </c>
      <c r="Z20" s="161">
        <v>54.3</v>
      </c>
      <c r="AA20" s="795">
        <f t="shared" si="12"/>
        <v>2315.7386307957422</v>
      </c>
      <c r="AB20" s="153" t="s">
        <v>965</v>
      </c>
      <c r="AC20" s="1199">
        <v>0.12795275590551181</v>
      </c>
      <c r="AD20" s="1199">
        <v>0.16404199475065617</v>
      </c>
      <c r="AE20" s="1199">
        <v>0.20599999999999999</v>
      </c>
      <c r="AF20" s="1199">
        <v>0.16404199475065617</v>
      </c>
      <c r="AG20" s="153" t="s">
        <v>966</v>
      </c>
      <c r="AJ20" s="153">
        <v>260</v>
      </c>
      <c r="AK20" s="153">
        <v>420</v>
      </c>
      <c r="AL20" s="153">
        <v>397</v>
      </c>
      <c r="AM20" s="153">
        <v>210</v>
      </c>
      <c r="AN20" s="153">
        <v>330</v>
      </c>
      <c r="AO20" s="153">
        <v>312</v>
      </c>
      <c r="AP20" s="153">
        <v>310</v>
      </c>
      <c r="AQ20" s="153">
        <v>505</v>
      </c>
      <c r="AR20" s="153">
        <v>397</v>
      </c>
      <c r="AS20" s="153">
        <v>250</v>
      </c>
      <c r="AT20" s="153">
        <v>395</v>
      </c>
      <c r="AU20" s="153">
        <v>312</v>
      </c>
      <c r="AV20" s="153">
        <v>350</v>
      </c>
      <c r="AW20" s="153">
        <v>570</v>
      </c>
      <c r="AX20" s="153">
        <v>464</v>
      </c>
      <c r="AY20" s="153">
        <v>280</v>
      </c>
      <c r="AZ20" s="153">
        <v>445</v>
      </c>
      <c r="BA20" s="153">
        <v>364</v>
      </c>
    </row>
    <row r="21" spans="1:53" ht="12.75" customHeight="1" x14ac:dyDescent="0.25">
      <c r="A21" s="78">
        <v>13</v>
      </c>
      <c r="B21" s="78" t="s">
        <v>966</v>
      </c>
      <c r="C21" s="78" t="s">
        <v>625</v>
      </c>
      <c r="D21" s="56">
        <v>23.95</v>
      </c>
      <c r="E21" s="57">
        <f t="shared" si="13"/>
        <v>0.94291338582677164</v>
      </c>
      <c r="F21" s="56">
        <v>450.3</v>
      </c>
      <c r="G21" s="273">
        <f t="shared" si="3"/>
        <v>0.69796639593279197</v>
      </c>
      <c r="H21" s="278">
        <f t="shared" si="4"/>
        <v>9.9754101049868774E-2</v>
      </c>
      <c r="I21" s="258">
        <v>0.15748031496062992</v>
      </c>
      <c r="J21" s="278">
        <f t="shared" si="5"/>
        <v>0.15532600000000002</v>
      </c>
      <c r="K21" s="258">
        <v>0.15748031496062992</v>
      </c>
      <c r="L21" s="274">
        <f t="shared" si="6"/>
        <v>430</v>
      </c>
      <c r="M21" s="274">
        <f t="shared" si="7"/>
        <v>700</v>
      </c>
      <c r="N21" s="274">
        <f t="shared" si="8"/>
        <v>580</v>
      </c>
      <c r="O21" s="274">
        <f t="shared" si="9"/>
        <v>350</v>
      </c>
      <c r="P21" s="274">
        <f t="shared" si="10"/>
        <v>545</v>
      </c>
      <c r="Q21" s="274">
        <f t="shared" si="11"/>
        <v>458</v>
      </c>
      <c r="R21" s="78">
        <v>90</v>
      </c>
      <c r="S21" s="76">
        <v>6.9400000000000003E-2</v>
      </c>
      <c r="T21" s="149">
        <f t="shared" si="1"/>
        <v>888.69153345174652</v>
      </c>
      <c r="V21" s="85">
        <v>253.1</v>
      </c>
      <c r="W21" s="75">
        <f t="shared" si="2"/>
        <v>499.50661140714419</v>
      </c>
      <c r="X21" s="78">
        <v>13</v>
      </c>
      <c r="Y21" s="76">
        <v>1.52</v>
      </c>
      <c r="Z21" s="76">
        <v>67.900000000000006</v>
      </c>
      <c r="AA21" s="144">
        <f t="shared" si="12"/>
        <v>3621.00754650923</v>
      </c>
      <c r="AB21" s="78" t="s">
        <v>966</v>
      </c>
      <c r="AC21" s="258">
        <v>9.514435695538058E-2</v>
      </c>
      <c r="AD21" s="258">
        <v>0.15748031496062992</v>
      </c>
      <c r="AE21" s="258">
        <v>0.14799999999999999</v>
      </c>
      <c r="AF21" s="258">
        <v>0.15748031496062992</v>
      </c>
      <c r="AG21" s="78" t="s">
        <v>967</v>
      </c>
      <c r="AJ21" s="78">
        <v>320</v>
      </c>
      <c r="AK21" s="78">
        <v>545</v>
      </c>
      <c r="AL21" s="78">
        <v>496</v>
      </c>
      <c r="AM21" s="78">
        <v>260</v>
      </c>
      <c r="AN21" s="78">
        <v>405</v>
      </c>
      <c r="AO21" s="78">
        <v>392</v>
      </c>
      <c r="AP21" s="78">
        <v>380</v>
      </c>
      <c r="AQ21" s="78">
        <v>620</v>
      </c>
      <c r="AR21" s="78">
        <v>496</v>
      </c>
      <c r="AS21" s="78">
        <v>310</v>
      </c>
      <c r="AT21" s="78">
        <v>485</v>
      </c>
      <c r="AU21" s="78">
        <v>392</v>
      </c>
      <c r="AV21" s="78">
        <v>430</v>
      </c>
      <c r="AW21" s="78">
        <v>700</v>
      </c>
      <c r="AX21" s="78">
        <v>580</v>
      </c>
      <c r="AY21" s="78">
        <v>350</v>
      </c>
      <c r="AZ21" s="78">
        <v>545</v>
      </c>
      <c r="BA21" s="78">
        <v>458</v>
      </c>
    </row>
    <row r="22" spans="1:53" s="794" customFormat="1" ht="12.75" customHeight="1" x14ac:dyDescent="0.25">
      <c r="A22" s="153">
        <v>14</v>
      </c>
      <c r="B22" s="153" t="s">
        <v>967</v>
      </c>
      <c r="C22" s="153" t="s">
        <v>625</v>
      </c>
      <c r="D22" s="789">
        <v>29.41</v>
      </c>
      <c r="E22" s="790">
        <f t="shared" si="13"/>
        <v>1.1578740157480316</v>
      </c>
      <c r="F22" s="789">
        <v>679.5</v>
      </c>
      <c r="G22" s="791">
        <f t="shared" si="3"/>
        <v>1.0532271064542129</v>
      </c>
      <c r="H22" s="792">
        <f t="shared" si="4"/>
        <v>7.234305000000002E-2</v>
      </c>
      <c r="I22" s="793">
        <v>0.15748031496062992</v>
      </c>
      <c r="J22" s="1200">
        <f t="shared" si="5"/>
        <v>0.10704900000000001</v>
      </c>
      <c r="K22" s="1199">
        <v>0.15748031496062992</v>
      </c>
      <c r="L22" s="279">
        <f t="shared" si="6"/>
        <v>535</v>
      </c>
      <c r="M22" s="279">
        <f t="shared" si="7"/>
        <v>855</v>
      </c>
      <c r="N22" s="279">
        <f t="shared" si="8"/>
        <v>747</v>
      </c>
      <c r="O22" s="279">
        <f t="shared" si="9"/>
        <v>435</v>
      </c>
      <c r="P22" s="279">
        <f t="shared" si="10"/>
        <v>700</v>
      </c>
      <c r="Q22" s="279">
        <f t="shared" si="11"/>
        <v>598</v>
      </c>
      <c r="R22" s="153">
        <v>110</v>
      </c>
      <c r="S22" s="161">
        <f>+S20-S21</f>
        <v>2.9799999999999993E-2</v>
      </c>
      <c r="T22" s="265">
        <f t="shared" si="1"/>
        <v>1341.0301953818828</v>
      </c>
      <c r="U22" s="265"/>
      <c r="V22" s="82">
        <v>380</v>
      </c>
      <c r="W22" s="794">
        <f t="shared" si="2"/>
        <v>749.95066114071437</v>
      </c>
      <c r="X22" s="153">
        <v>14</v>
      </c>
      <c r="Y22" s="161">
        <v>1.83</v>
      </c>
      <c r="Z22" s="161">
        <v>84.7</v>
      </c>
      <c r="AA22" s="1187">
        <f t="shared" si="12"/>
        <v>5634.5171100480002</v>
      </c>
      <c r="AB22" s="153" t="s">
        <v>967</v>
      </c>
      <c r="AC22" s="1199">
        <v>6.9000000000000006E-2</v>
      </c>
      <c r="AD22" s="1199">
        <v>0.15748031496062992</v>
      </c>
      <c r="AE22" s="1199">
        <v>0.10199999999999999</v>
      </c>
      <c r="AF22" s="1199">
        <v>0.15748031496062992</v>
      </c>
      <c r="AG22" s="153" t="s">
        <v>968</v>
      </c>
      <c r="AJ22" s="153">
        <v>400</v>
      </c>
      <c r="AK22" s="153">
        <v>655</v>
      </c>
      <c r="AL22" s="153">
        <v>638</v>
      </c>
      <c r="AM22" s="153">
        <v>320</v>
      </c>
      <c r="AN22" s="153">
        <v>515</v>
      </c>
      <c r="AO22" s="153">
        <v>542</v>
      </c>
      <c r="AP22" s="153">
        <v>475</v>
      </c>
      <c r="AQ22" s="153">
        <v>785</v>
      </c>
      <c r="AR22" s="153">
        <v>638</v>
      </c>
      <c r="AS22" s="153">
        <v>385</v>
      </c>
      <c r="AT22" s="153">
        <v>620</v>
      </c>
      <c r="AU22" s="153">
        <v>542</v>
      </c>
      <c r="AV22" s="153">
        <v>535</v>
      </c>
      <c r="AW22" s="153">
        <v>855</v>
      </c>
      <c r="AX22" s="153">
        <v>747</v>
      </c>
      <c r="AY22" s="153">
        <v>435</v>
      </c>
      <c r="AZ22" s="153">
        <v>700</v>
      </c>
      <c r="BA22" s="153">
        <v>598</v>
      </c>
    </row>
    <row r="23" spans="1:53" ht="12.75" customHeight="1" x14ac:dyDescent="0.25">
      <c r="A23" s="78">
        <v>15</v>
      </c>
      <c r="B23" s="78" t="s">
        <v>968</v>
      </c>
      <c r="C23" s="78" t="s">
        <v>625</v>
      </c>
      <c r="D23" s="56">
        <v>33.32</v>
      </c>
      <c r="E23" s="57">
        <f t="shared" si="13"/>
        <v>1.3118110236220473</v>
      </c>
      <c r="F23" s="56">
        <v>872.2</v>
      </c>
      <c r="G23" s="273">
        <f t="shared" si="3"/>
        <v>1.3519127038254077</v>
      </c>
      <c r="H23" s="278">
        <f t="shared" si="4"/>
        <v>6.1858550000000005E-2</v>
      </c>
      <c r="I23" s="258">
        <v>0.15748031496062992</v>
      </c>
      <c r="J23" s="278">
        <f t="shared" si="5"/>
        <v>8.605900000000001E-2</v>
      </c>
      <c r="K23" s="258">
        <v>0.15748031496062992</v>
      </c>
      <c r="L23" s="274">
        <f t="shared" si="6"/>
        <v>615</v>
      </c>
      <c r="M23" s="274">
        <f t="shared" si="7"/>
        <v>1055</v>
      </c>
      <c r="N23" s="274">
        <f t="shared" si="8"/>
        <v>879</v>
      </c>
      <c r="O23" s="274">
        <f t="shared" si="9"/>
        <v>500</v>
      </c>
      <c r="P23" s="274">
        <f t="shared" si="10"/>
        <v>845</v>
      </c>
      <c r="Q23" s="274">
        <f t="shared" si="11"/>
        <v>716</v>
      </c>
      <c r="R23" s="78">
        <v>125</v>
      </c>
      <c r="S23" s="76">
        <f>+S21-S22</f>
        <v>3.960000000000001E-2</v>
      </c>
      <c r="T23" s="149">
        <f t="shared" si="1"/>
        <v>1721.3341227550818</v>
      </c>
      <c r="V23" s="83">
        <v>506.7</v>
      </c>
      <c r="W23" s="75">
        <f t="shared" si="2"/>
        <v>999.99999999999989</v>
      </c>
      <c r="X23" s="78">
        <v>15</v>
      </c>
      <c r="Y23" s="76"/>
      <c r="Z23" s="76">
        <v>0</v>
      </c>
      <c r="AA23" s="144">
        <f t="shared" si="12"/>
        <v>0</v>
      </c>
      <c r="AB23" s="78" t="s">
        <v>968</v>
      </c>
      <c r="AC23" s="258">
        <v>5.8999999999999997E-2</v>
      </c>
      <c r="AD23" s="258">
        <v>0.15748031496062992</v>
      </c>
      <c r="AE23" s="258">
        <v>8.2000000000000003E-2</v>
      </c>
      <c r="AF23" s="258">
        <v>0.15748031496062992</v>
      </c>
      <c r="AG23" s="78" t="s">
        <v>968</v>
      </c>
      <c r="AJ23" s="78">
        <v>455</v>
      </c>
      <c r="AK23" s="78">
        <v>780</v>
      </c>
      <c r="AL23" s="78">
        <v>748</v>
      </c>
      <c r="AM23" s="78">
        <v>375</v>
      </c>
      <c r="AN23" s="78">
        <v>625</v>
      </c>
      <c r="AO23" s="78">
        <v>612</v>
      </c>
      <c r="AP23" s="78">
        <v>545</v>
      </c>
      <c r="AQ23" s="78">
        <v>935</v>
      </c>
      <c r="AR23" s="78">
        <v>748</v>
      </c>
      <c r="AS23" s="78">
        <v>445</v>
      </c>
      <c r="AT23" s="78">
        <v>750</v>
      </c>
      <c r="AU23" s="78">
        <v>612</v>
      </c>
      <c r="AV23" s="78">
        <v>615</v>
      </c>
      <c r="AW23" s="78">
        <v>1055</v>
      </c>
      <c r="AX23" s="78">
        <v>879</v>
      </c>
      <c r="AY23" s="78">
        <v>500</v>
      </c>
      <c r="AZ23" s="78">
        <v>845</v>
      </c>
      <c r="BA23" s="78">
        <v>716</v>
      </c>
    </row>
    <row r="24" spans="1:53" x14ac:dyDescent="0.25">
      <c r="A24" s="78">
        <v>16</v>
      </c>
      <c r="B24" s="274" t="s">
        <v>802</v>
      </c>
      <c r="C24" s="78" t="s">
        <v>600</v>
      </c>
      <c r="D24" s="151">
        <v>9.1</v>
      </c>
      <c r="E24" s="57">
        <f t="shared" si="13"/>
        <v>0.3582677165354331</v>
      </c>
      <c r="F24" s="57">
        <f t="shared" ref="F24:F62" si="14">PI()*D24^2/4</f>
        <v>65.038821910942687</v>
      </c>
      <c r="G24" s="273">
        <f t="shared" si="3"/>
        <v>0.10081037558271233</v>
      </c>
      <c r="H24" s="278">
        <f t="shared" si="4"/>
        <v>6.8795931758530182</v>
      </c>
      <c r="I24" s="258">
        <v>0.2230971128608924</v>
      </c>
      <c r="J24" s="278">
        <f t="shared" si="5"/>
        <v>11.009255000000001</v>
      </c>
      <c r="K24" s="258">
        <v>0.2230971128608924</v>
      </c>
      <c r="L24" s="274">
        <f t="shared" si="6"/>
        <v>30</v>
      </c>
      <c r="M24" s="274">
        <f t="shared" si="7"/>
        <v>40</v>
      </c>
      <c r="N24" s="274">
        <f t="shared" si="8"/>
        <v>33</v>
      </c>
      <c r="O24" s="274">
        <f t="shared" si="9"/>
        <v>25</v>
      </c>
      <c r="P24" s="274">
        <f t="shared" si="10"/>
        <v>35</v>
      </c>
      <c r="Q24" s="274">
        <f t="shared" si="11"/>
        <v>29</v>
      </c>
      <c r="R24" s="78">
        <v>3.1</v>
      </c>
      <c r="T24" s="149">
        <f t="shared" si="1"/>
        <v>128.35765129453856</v>
      </c>
      <c r="V24" s="83">
        <v>3.31</v>
      </c>
      <c r="W24" s="75">
        <f t="shared" si="2"/>
        <v>6.5324649694099071</v>
      </c>
      <c r="X24" s="78">
        <v>16</v>
      </c>
      <c r="Y24" s="76"/>
      <c r="Z24" s="76">
        <v>15.5</v>
      </c>
      <c r="AA24" s="144">
        <f t="shared" si="12"/>
        <v>188.69190875623696</v>
      </c>
      <c r="AB24" s="274" t="s">
        <v>802</v>
      </c>
      <c r="AC24" s="258">
        <v>6.561679790026246</v>
      </c>
      <c r="AD24" s="258">
        <v>0.2230971128608924</v>
      </c>
      <c r="AE24" s="258">
        <v>10.49</v>
      </c>
      <c r="AF24" s="258">
        <v>0.2230971128608924</v>
      </c>
      <c r="AJ24" s="78">
        <v>20</v>
      </c>
      <c r="AK24" s="78">
        <v>30</v>
      </c>
      <c r="AL24" s="153">
        <v>25</v>
      </c>
      <c r="AM24" s="78">
        <v>15</v>
      </c>
      <c r="AN24" s="78">
        <v>25</v>
      </c>
      <c r="AO24" s="153">
        <v>20</v>
      </c>
      <c r="AP24" s="78">
        <v>25</v>
      </c>
      <c r="AQ24" s="78">
        <v>35</v>
      </c>
      <c r="AR24" s="153">
        <v>25</v>
      </c>
      <c r="AS24" s="78">
        <v>20</v>
      </c>
      <c r="AT24" s="78">
        <v>30</v>
      </c>
      <c r="AU24" s="153">
        <v>20</v>
      </c>
      <c r="AV24" s="78">
        <v>30</v>
      </c>
      <c r="AW24" s="78">
        <v>40</v>
      </c>
      <c r="AX24" s="153">
        <v>33</v>
      </c>
      <c r="AY24" s="78">
        <v>25</v>
      </c>
      <c r="AZ24" s="78">
        <v>35</v>
      </c>
      <c r="BA24" s="153">
        <v>29</v>
      </c>
    </row>
    <row r="25" spans="1:53" x14ac:dyDescent="0.25">
      <c r="A25" s="78">
        <v>17</v>
      </c>
      <c r="B25" s="274" t="s">
        <v>802</v>
      </c>
      <c r="C25" s="78" t="s">
        <v>638</v>
      </c>
      <c r="D25" s="56">
        <v>9.6</v>
      </c>
      <c r="E25" s="57">
        <f t="shared" si="13"/>
        <v>0.37795275590551181</v>
      </c>
      <c r="F25" s="57">
        <f t="shared" si="14"/>
        <v>72.382294738708836</v>
      </c>
      <c r="G25" s="273">
        <f t="shared" si="3"/>
        <v>0.11219278123056116</v>
      </c>
      <c r="H25" s="278">
        <f t="shared" si="4"/>
        <v>6.8795931758530182</v>
      </c>
      <c r="I25" s="258">
        <v>0.2230971128608924</v>
      </c>
      <c r="J25" s="278">
        <f t="shared" si="5"/>
        <v>11.009255000000001</v>
      </c>
      <c r="K25" s="258">
        <v>0.2230971128608924</v>
      </c>
      <c r="L25" s="274">
        <f t="shared" si="6"/>
        <v>30</v>
      </c>
      <c r="M25" s="274">
        <f t="shared" si="7"/>
        <v>40</v>
      </c>
      <c r="N25" s="274">
        <f t="shared" si="8"/>
        <v>33</v>
      </c>
      <c r="O25" s="274">
        <f t="shared" si="9"/>
        <v>25</v>
      </c>
      <c r="P25" s="274">
        <f t="shared" si="10"/>
        <v>35</v>
      </c>
      <c r="Q25" s="274">
        <f t="shared" si="11"/>
        <v>29</v>
      </c>
      <c r="R25" s="78">
        <v>3.1</v>
      </c>
      <c r="T25" s="149">
        <f t="shared" si="1"/>
        <v>142.85039419520194</v>
      </c>
      <c r="V25" s="83">
        <v>3.31</v>
      </c>
      <c r="W25" s="75">
        <f t="shared" si="2"/>
        <v>6.5324649694099071</v>
      </c>
      <c r="X25" s="78">
        <v>17</v>
      </c>
      <c r="Y25" s="76"/>
      <c r="Z25" s="76">
        <v>15.5</v>
      </c>
      <c r="AA25" s="144">
        <f t="shared" si="12"/>
        <v>188.69190875623696</v>
      </c>
      <c r="AB25" s="274" t="s">
        <v>802</v>
      </c>
      <c r="AC25" s="258">
        <v>6.561679790026246</v>
      </c>
      <c r="AD25" s="258">
        <v>0.2230971128608924</v>
      </c>
      <c r="AE25" s="258">
        <v>10.49</v>
      </c>
      <c r="AF25" s="258">
        <v>0.2230971128608924</v>
      </c>
      <c r="AJ25" s="78">
        <v>20</v>
      </c>
      <c r="AK25" s="78">
        <v>30</v>
      </c>
      <c r="AL25" s="153">
        <v>25</v>
      </c>
      <c r="AM25" s="78">
        <v>15</v>
      </c>
      <c r="AN25" s="78">
        <v>25</v>
      </c>
      <c r="AO25" s="153">
        <v>20</v>
      </c>
      <c r="AP25" s="78">
        <v>25</v>
      </c>
      <c r="AQ25" s="78">
        <v>35</v>
      </c>
      <c r="AR25" s="153">
        <v>25</v>
      </c>
      <c r="AS25" s="78">
        <v>20</v>
      </c>
      <c r="AT25" s="78">
        <v>30</v>
      </c>
      <c r="AU25" s="153">
        <v>20</v>
      </c>
      <c r="AV25" s="78">
        <v>30</v>
      </c>
      <c r="AW25" s="78">
        <v>40</v>
      </c>
      <c r="AX25" s="153">
        <v>33</v>
      </c>
      <c r="AY25" s="78">
        <v>25</v>
      </c>
      <c r="AZ25" s="78">
        <v>35</v>
      </c>
      <c r="BA25" s="153">
        <v>29</v>
      </c>
    </row>
    <row r="26" spans="1:53" x14ac:dyDescent="0.25">
      <c r="A26" s="78">
        <v>18</v>
      </c>
      <c r="B26" s="274" t="s">
        <v>802</v>
      </c>
      <c r="C26" s="78" t="s">
        <v>645</v>
      </c>
      <c r="D26" s="56">
        <v>10.5</v>
      </c>
      <c r="E26" s="57">
        <f t="shared" si="13"/>
        <v>0.41338582677165359</v>
      </c>
      <c r="F26" s="57">
        <f t="shared" si="14"/>
        <v>86.59014751456867</v>
      </c>
      <c r="G26" s="273">
        <f t="shared" si="3"/>
        <v>0.13421499707757559</v>
      </c>
      <c r="H26" s="278">
        <f t="shared" si="4"/>
        <v>6.8795931758530182</v>
      </c>
      <c r="I26" s="258">
        <v>0.2230971128608924</v>
      </c>
      <c r="J26" s="278">
        <f t="shared" si="5"/>
        <v>11.009255000000001</v>
      </c>
      <c r="K26" s="258">
        <v>0.2230971128608924</v>
      </c>
      <c r="L26" s="274">
        <f t="shared" si="6"/>
        <v>30</v>
      </c>
      <c r="M26" s="274">
        <f t="shared" si="7"/>
        <v>40</v>
      </c>
      <c r="N26" s="274">
        <f t="shared" si="8"/>
        <v>33</v>
      </c>
      <c r="O26" s="274">
        <f t="shared" si="9"/>
        <v>25</v>
      </c>
      <c r="P26" s="274">
        <f t="shared" si="10"/>
        <v>35</v>
      </c>
      <c r="Q26" s="274">
        <f t="shared" si="11"/>
        <v>29</v>
      </c>
      <c r="R26" s="78">
        <v>3.1</v>
      </c>
      <c r="T26" s="149">
        <f t="shared" si="1"/>
        <v>170.89036414953358</v>
      </c>
      <c r="V26" s="83">
        <v>3.31</v>
      </c>
      <c r="W26" s="75">
        <f t="shared" si="2"/>
        <v>6.5324649694099071</v>
      </c>
      <c r="X26" s="78">
        <v>18</v>
      </c>
      <c r="Y26" s="76"/>
      <c r="Z26" s="76">
        <v>15.5</v>
      </c>
      <c r="AA26" s="144">
        <f t="shared" si="12"/>
        <v>188.69190875623696</v>
      </c>
      <c r="AB26" s="274" t="s">
        <v>802</v>
      </c>
      <c r="AC26" s="258">
        <v>6.561679790026246</v>
      </c>
      <c r="AD26" s="258">
        <v>0.2230971128608924</v>
      </c>
      <c r="AE26" s="258">
        <v>10.49</v>
      </c>
      <c r="AF26" s="258">
        <v>0.2230971128608924</v>
      </c>
      <c r="AJ26" s="78">
        <v>20</v>
      </c>
      <c r="AK26" s="78">
        <v>30</v>
      </c>
      <c r="AL26" s="153">
        <v>25</v>
      </c>
      <c r="AM26" s="78">
        <v>15</v>
      </c>
      <c r="AN26" s="78">
        <v>25</v>
      </c>
      <c r="AO26" s="153">
        <v>20</v>
      </c>
      <c r="AP26" s="78">
        <v>25</v>
      </c>
      <c r="AQ26" s="78">
        <v>35</v>
      </c>
      <c r="AR26" s="153">
        <v>25</v>
      </c>
      <c r="AS26" s="78">
        <v>20</v>
      </c>
      <c r="AT26" s="78">
        <v>30</v>
      </c>
      <c r="AU26" s="153">
        <v>20</v>
      </c>
      <c r="AV26" s="78">
        <v>30</v>
      </c>
      <c r="AW26" s="78">
        <v>40</v>
      </c>
      <c r="AX26" s="153">
        <v>33</v>
      </c>
      <c r="AY26" s="78">
        <v>25</v>
      </c>
      <c r="AZ26" s="78">
        <v>35</v>
      </c>
      <c r="BA26" s="153">
        <v>29</v>
      </c>
    </row>
    <row r="27" spans="1:53" x14ac:dyDescent="0.25">
      <c r="A27" s="78">
        <v>19</v>
      </c>
      <c r="B27" s="78" t="s">
        <v>804</v>
      </c>
      <c r="C27" s="78" t="s">
        <v>600</v>
      </c>
      <c r="D27" s="56">
        <v>10.8</v>
      </c>
      <c r="E27" s="57">
        <f t="shared" si="13"/>
        <v>0.42519685039370086</v>
      </c>
      <c r="F27" s="57">
        <f t="shared" si="14"/>
        <v>91.608841778678382</v>
      </c>
      <c r="G27" s="273">
        <f t="shared" si="3"/>
        <v>0.141993988744929</v>
      </c>
      <c r="H27" s="278">
        <f t="shared" si="4"/>
        <v>4.1277559055118109</v>
      </c>
      <c r="I27" s="258">
        <v>0.20669291338582677</v>
      </c>
      <c r="J27" s="278">
        <f t="shared" si="5"/>
        <v>6.8847200000000006</v>
      </c>
      <c r="K27" s="258">
        <v>0.20669291338582677</v>
      </c>
      <c r="L27" s="274">
        <f t="shared" si="6"/>
        <v>40</v>
      </c>
      <c r="M27" s="274">
        <f t="shared" si="7"/>
        <v>55</v>
      </c>
      <c r="N27" s="274">
        <f t="shared" si="8"/>
        <v>45</v>
      </c>
      <c r="O27" s="274">
        <f t="shared" si="9"/>
        <v>35</v>
      </c>
      <c r="P27" s="274">
        <f t="shared" si="10"/>
        <v>40</v>
      </c>
      <c r="Q27" s="274">
        <f t="shared" si="11"/>
        <v>33</v>
      </c>
      <c r="R27" s="78">
        <v>3.1</v>
      </c>
      <c r="T27" s="149">
        <f t="shared" si="1"/>
        <v>180.79503015330249</v>
      </c>
      <c r="V27" s="83">
        <v>5.2610000000000001</v>
      </c>
      <c r="W27" s="75">
        <f t="shared" si="2"/>
        <v>10.382869548056048</v>
      </c>
      <c r="X27" s="78">
        <v>19</v>
      </c>
      <c r="Y27" s="76"/>
      <c r="Z27" s="76">
        <v>18.399999999999999</v>
      </c>
      <c r="AA27" s="144">
        <f t="shared" si="12"/>
        <v>265.90440219984004</v>
      </c>
      <c r="AB27" s="78" t="s">
        <v>804</v>
      </c>
      <c r="AC27" s="258">
        <v>3.9370078740157477</v>
      </c>
      <c r="AD27" s="258">
        <v>0.20669291338582677</v>
      </c>
      <c r="AE27" s="258">
        <v>6.56</v>
      </c>
      <c r="AF27" s="258">
        <v>0.20669291338582677</v>
      </c>
      <c r="AJ27" s="78">
        <v>30</v>
      </c>
      <c r="AK27" s="78">
        <v>40</v>
      </c>
      <c r="AL27" s="153">
        <v>38</v>
      </c>
      <c r="AM27" s="78">
        <v>25</v>
      </c>
      <c r="AN27" s="78">
        <v>35</v>
      </c>
      <c r="AO27" s="153">
        <v>29</v>
      </c>
      <c r="AP27" s="78">
        <v>35</v>
      </c>
      <c r="AQ27" s="78">
        <v>50</v>
      </c>
      <c r="AR27" s="153">
        <v>38</v>
      </c>
      <c r="AS27" s="78">
        <v>30</v>
      </c>
      <c r="AT27" s="78">
        <v>40</v>
      </c>
      <c r="AU27" s="153">
        <v>29</v>
      </c>
      <c r="AV27" s="78">
        <v>40</v>
      </c>
      <c r="AW27" s="78">
        <v>55</v>
      </c>
      <c r="AX27" s="153">
        <v>45</v>
      </c>
      <c r="AY27" s="78">
        <v>35</v>
      </c>
      <c r="AZ27" s="78">
        <v>40</v>
      </c>
      <c r="BA27" s="153">
        <v>33</v>
      </c>
    </row>
    <row r="28" spans="1:53" x14ac:dyDescent="0.25">
      <c r="A28" s="78">
        <v>20</v>
      </c>
      <c r="B28" s="78" t="s">
        <v>804</v>
      </c>
      <c r="C28" s="78" t="s">
        <v>638</v>
      </c>
      <c r="D28" s="56">
        <v>11.5</v>
      </c>
      <c r="E28" s="57">
        <f t="shared" si="13"/>
        <v>0.45275590551181105</v>
      </c>
      <c r="F28" s="57">
        <f t="shared" si="14"/>
        <v>103.86890710931253</v>
      </c>
      <c r="G28" s="273">
        <f t="shared" si="3"/>
        <v>0.16099712801369045</v>
      </c>
      <c r="H28" s="278">
        <f t="shared" si="4"/>
        <v>4.1277559055118109</v>
      </c>
      <c r="I28" s="258">
        <v>0.20669291338582677</v>
      </c>
      <c r="J28" s="278">
        <f t="shared" si="5"/>
        <v>6.8847200000000006</v>
      </c>
      <c r="K28" s="258">
        <v>0.20669291338582677</v>
      </c>
      <c r="L28" s="274">
        <f t="shared" si="6"/>
        <v>40</v>
      </c>
      <c r="M28" s="274">
        <f t="shared" si="7"/>
        <v>55</v>
      </c>
      <c r="N28" s="274">
        <f t="shared" si="8"/>
        <v>45</v>
      </c>
      <c r="O28" s="274">
        <f t="shared" si="9"/>
        <v>35</v>
      </c>
      <c r="P28" s="274">
        <f t="shared" si="10"/>
        <v>40</v>
      </c>
      <c r="Q28" s="274">
        <f t="shared" si="11"/>
        <v>33</v>
      </c>
      <c r="R28" s="78">
        <v>3.1</v>
      </c>
      <c r="T28" s="149">
        <f t="shared" si="1"/>
        <v>204.99093568050625</v>
      </c>
      <c r="V28" s="83">
        <v>5.2610000000000001</v>
      </c>
      <c r="W28" s="75">
        <f t="shared" si="2"/>
        <v>10.382869548056048</v>
      </c>
      <c r="X28" s="78">
        <v>20</v>
      </c>
      <c r="Y28" s="76"/>
      <c r="Z28" s="76">
        <v>18.399999999999999</v>
      </c>
      <c r="AA28" s="144">
        <f t="shared" si="12"/>
        <v>265.90440219984004</v>
      </c>
      <c r="AB28" s="78" t="s">
        <v>804</v>
      </c>
      <c r="AC28" s="258">
        <v>3.9370078740157477</v>
      </c>
      <c r="AD28" s="258">
        <v>0.20669291338582677</v>
      </c>
      <c r="AE28" s="258">
        <v>6.56</v>
      </c>
      <c r="AF28" s="258">
        <v>0.20669291338582677</v>
      </c>
      <c r="AJ28" s="78">
        <v>30</v>
      </c>
      <c r="AK28" s="78">
        <v>40</v>
      </c>
      <c r="AL28" s="153">
        <v>38</v>
      </c>
      <c r="AM28" s="78">
        <v>25</v>
      </c>
      <c r="AN28" s="78">
        <v>35</v>
      </c>
      <c r="AO28" s="153">
        <v>29</v>
      </c>
      <c r="AP28" s="78">
        <v>35</v>
      </c>
      <c r="AQ28" s="78">
        <v>50</v>
      </c>
      <c r="AR28" s="153">
        <v>38</v>
      </c>
      <c r="AS28" s="78">
        <v>30</v>
      </c>
      <c r="AT28" s="78">
        <v>40</v>
      </c>
      <c r="AU28" s="153">
        <v>29</v>
      </c>
      <c r="AV28" s="78">
        <v>40</v>
      </c>
      <c r="AW28" s="78">
        <v>55</v>
      </c>
      <c r="AX28" s="153">
        <v>45</v>
      </c>
      <c r="AY28" s="78">
        <v>35</v>
      </c>
      <c r="AZ28" s="78">
        <v>40</v>
      </c>
      <c r="BA28" s="153">
        <v>33</v>
      </c>
    </row>
    <row r="29" spans="1:53" x14ac:dyDescent="0.25">
      <c r="A29" s="78">
        <v>21</v>
      </c>
      <c r="B29" s="78" t="s">
        <v>804</v>
      </c>
      <c r="C29" s="78" t="s">
        <v>645</v>
      </c>
      <c r="D29" s="56">
        <v>12.5</v>
      </c>
      <c r="E29" s="57">
        <f t="shared" si="13"/>
        <v>0.49212598425196852</v>
      </c>
      <c r="F29" s="57">
        <f t="shared" si="14"/>
        <v>122.7184630308513</v>
      </c>
      <c r="G29" s="273">
        <f t="shared" si="3"/>
        <v>0.19021399812581577</v>
      </c>
      <c r="H29" s="278">
        <f t="shared" si="4"/>
        <v>4.1277559055118109</v>
      </c>
      <c r="I29" s="258">
        <v>0.20669291338582677</v>
      </c>
      <c r="J29" s="278">
        <f t="shared" si="5"/>
        <v>6.8847200000000006</v>
      </c>
      <c r="K29" s="258">
        <v>0.20669291338582677</v>
      </c>
      <c r="L29" s="274">
        <f t="shared" si="6"/>
        <v>40</v>
      </c>
      <c r="M29" s="274">
        <f t="shared" si="7"/>
        <v>55</v>
      </c>
      <c r="N29" s="274">
        <f t="shared" si="8"/>
        <v>45</v>
      </c>
      <c r="O29" s="274">
        <f t="shared" si="9"/>
        <v>35</v>
      </c>
      <c r="P29" s="274">
        <f t="shared" si="10"/>
        <v>40</v>
      </c>
      <c r="Q29" s="274">
        <f t="shared" si="11"/>
        <v>33</v>
      </c>
      <c r="R29" s="78">
        <v>3.1</v>
      </c>
      <c r="T29" s="149">
        <f t="shared" si="1"/>
        <v>242.19155916884012</v>
      </c>
      <c r="V29" s="83">
        <v>5.2610000000000001</v>
      </c>
      <c r="W29" s="75">
        <f t="shared" si="2"/>
        <v>10.382869548056048</v>
      </c>
      <c r="X29" s="78">
        <v>21</v>
      </c>
      <c r="Y29" s="76"/>
      <c r="Z29" s="76">
        <v>18.399999999999999</v>
      </c>
      <c r="AA29" s="144">
        <f t="shared" si="12"/>
        <v>265.90440219984004</v>
      </c>
      <c r="AB29" s="78" t="s">
        <v>804</v>
      </c>
      <c r="AC29" s="258">
        <v>3.9370078740157477</v>
      </c>
      <c r="AD29" s="258">
        <v>0.20669291338582677</v>
      </c>
      <c r="AE29" s="258">
        <v>6.56</v>
      </c>
      <c r="AF29" s="258">
        <v>0.20669291338582677</v>
      </c>
      <c r="AJ29" s="78">
        <v>30</v>
      </c>
      <c r="AK29" s="78">
        <v>40</v>
      </c>
      <c r="AL29" s="153">
        <v>38</v>
      </c>
      <c r="AM29" s="78">
        <v>25</v>
      </c>
      <c r="AN29" s="78">
        <v>35</v>
      </c>
      <c r="AO29" s="153">
        <v>29</v>
      </c>
      <c r="AP29" s="78">
        <v>35</v>
      </c>
      <c r="AQ29" s="78">
        <v>50</v>
      </c>
      <c r="AR29" s="153">
        <v>38</v>
      </c>
      <c r="AS29" s="78">
        <v>30</v>
      </c>
      <c r="AT29" s="78">
        <v>40</v>
      </c>
      <c r="AU29" s="153">
        <v>29</v>
      </c>
      <c r="AV29" s="78">
        <v>40</v>
      </c>
      <c r="AW29" s="78">
        <v>55</v>
      </c>
      <c r="AX29" s="153">
        <v>45</v>
      </c>
      <c r="AY29" s="78">
        <v>35</v>
      </c>
      <c r="AZ29" s="78">
        <v>40</v>
      </c>
      <c r="BA29" s="153">
        <v>33</v>
      </c>
    </row>
    <row r="30" spans="1:53" x14ac:dyDescent="0.25">
      <c r="A30" s="78">
        <v>22</v>
      </c>
      <c r="B30" s="78" t="s">
        <v>806</v>
      </c>
      <c r="C30" s="78" t="s">
        <v>600</v>
      </c>
      <c r="D30" s="56">
        <v>14.2</v>
      </c>
      <c r="E30" s="57">
        <f t="shared" si="13"/>
        <v>0.55905511811023623</v>
      </c>
      <c r="F30" s="57">
        <f t="shared" si="14"/>
        <v>158.36768566746147</v>
      </c>
      <c r="G30" s="273">
        <f t="shared" si="3"/>
        <v>0.24547040372537274</v>
      </c>
      <c r="H30" s="278">
        <f t="shared" si="4"/>
        <v>2.6830413385826772</v>
      </c>
      <c r="I30" s="258">
        <v>0.21325459317585302</v>
      </c>
      <c r="J30" s="278">
        <f t="shared" si="5"/>
        <v>4.4813650000000003</v>
      </c>
      <c r="K30" s="258">
        <v>0.21325459317585302</v>
      </c>
      <c r="L30" s="274">
        <f t="shared" si="6"/>
        <v>55</v>
      </c>
      <c r="M30" s="274">
        <f t="shared" si="7"/>
        <v>80</v>
      </c>
      <c r="N30" s="274">
        <f t="shared" si="8"/>
        <v>66</v>
      </c>
      <c r="O30" s="274">
        <f t="shared" si="9"/>
        <v>45</v>
      </c>
      <c r="P30" s="274">
        <f t="shared" si="10"/>
        <v>60</v>
      </c>
      <c r="Q30" s="274">
        <f t="shared" si="11"/>
        <v>51</v>
      </c>
      <c r="R30" s="78">
        <v>3.1</v>
      </c>
      <c r="T30" s="149">
        <f t="shared" si="1"/>
        <v>312.54723834115151</v>
      </c>
      <c r="V30" s="83">
        <v>8.3569999999999993</v>
      </c>
      <c r="W30" s="75">
        <f t="shared" si="2"/>
        <v>16.492993881981445</v>
      </c>
      <c r="X30" s="78">
        <v>22</v>
      </c>
      <c r="Y30" s="76"/>
      <c r="Z30" s="76">
        <v>20.100000000000001</v>
      </c>
      <c r="AA30" s="144">
        <f t="shared" si="12"/>
        <v>317.30871199420312</v>
      </c>
      <c r="AB30" s="78" t="s">
        <v>806</v>
      </c>
      <c r="AC30" s="258">
        <v>2.5590551181102361</v>
      </c>
      <c r="AD30" s="258">
        <v>0.21325459317585302</v>
      </c>
      <c r="AE30" s="258">
        <v>4.2699999999999996</v>
      </c>
      <c r="AF30" s="258">
        <v>0.21325459317585302</v>
      </c>
      <c r="AJ30" s="78">
        <v>40</v>
      </c>
      <c r="AK30" s="78">
        <v>60</v>
      </c>
      <c r="AL30" s="78">
        <v>57</v>
      </c>
      <c r="AM30" s="78">
        <v>35</v>
      </c>
      <c r="AN30" s="78">
        <v>45</v>
      </c>
      <c r="AO30" s="78">
        <v>44</v>
      </c>
      <c r="AP30" s="78">
        <v>50</v>
      </c>
      <c r="AQ30" s="78">
        <v>70</v>
      </c>
      <c r="AR30" s="78">
        <v>57</v>
      </c>
      <c r="AS30" s="78">
        <v>40</v>
      </c>
      <c r="AT30" s="78">
        <v>55</v>
      </c>
      <c r="AU30" s="78">
        <v>44</v>
      </c>
      <c r="AV30" s="78">
        <v>55</v>
      </c>
      <c r="AW30" s="78">
        <v>80</v>
      </c>
      <c r="AX30" s="78">
        <v>66</v>
      </c>
      <c r="AY30" s="78">
        <v>45</v>
      </c>
      <c r="AZ30" s="78">
        <v>60</v>
      </c>
      <c r="BA30" s="78">
        <v>51</v>
      </c>
    </row>
    <row r="31" spans="1:53" x14ac:dyDescent="0.25">
      <c r="A31" s="78">
        <v>23</v>
      </c>
      <c r="B31" s="78" t="s">
        <v>806</v>
      </c>
      <c r="C31" s="78" t="s">
        <v>638</v>
      </c>
      <c r="D31" s="56">
        <v>15.1</v>
      </c>
      <c r="E31" s="57">
        <f t="shared" si="13"/>
        <v>0.59448818897637801</v>
      </c>
      <c r="F31" s="57">
        <f t="shared" si="14"/>
        <v>179.07863523625218</v>
      </c>
      <c r="G31" s="273">
        <f t="shared" si="3"/>
        <v>0.27757243976107043</v>
      </c>
      <c r="H31" s="278">
        <f t="shared" si="4"/>
        <v>2.6830413385826772</v>
      </c>
      <c r="I31" s="258">
        <v>0.21325459317585302</v>
      </c>
      <c r="J31" s="278">
        <f t="shared" si="5"/>
        <v>4.4813650000000003</v>
      </c>
      <c r="K31" s="258">
        <v>0.21325459317585302</v>
      </c>
      <c r="L31" s="274">
        <f t="shared" si="6"/>
        <v>55</v>
      </c>
      <c r="M31" s="274">
        <f t="shared" si="7"/>
        <v>80</v>
      </c>
      <c r="N31" s="274">
        <f t="shared" si="8"/>
        <v>66</v>
      </c>
      <c r="O31" s="274">
        <f t="shared" si="9"/>
        <v>45</v>
      </c>
      <c r="P31" s="274">
        <f t="shared" si="10"/>
        <v>60</v>
      </c>
      <c r="Q31" s="274">
        <f t="shared" si="11"/>
        <v>51</v>
      </c>
      <c r="R31" s="78">
        <v>3.1</v>
      </c>
      <c r="T31" s="149">
        <f t="shared" si="1"/>
        <v>353.42142339895827</v>
      </c>
      <c r="V31" s="83">
        <v>8.3569999999999993</v>
      </c>
      <c r="W31" s="75">
        <f t="shared" si="2"/>
        <v>16.492993881981445</v>
      </c>
      <c r="X31" s="78">
        <v>23</v>
      </c>
      <c r="Y31" s="76"/>
      <c r="Z31" s="76">
        <v>20.100000000000001</v>
      </c>
      <c r="AA31" s="144">
        <f t="shared" si="12"/>
        <v>317.30871199420312</v>
      </c>
      <c r="AB31" s="78" t="s">
        <v>806</v>
      </c>
      <c r="AC31" s="258">
        <v>2.5590551181102361</v>
      </c>
      <c r="AD31" s="258">
        <v>0.21325459317585302</v>
      </c>
      <c r="AE31" s="258">
        <v>4.2699999999999996</v>
      </c>
      <c r="AF31" s="258">
        <v>0.21325459317585302</v>
      </c>
      <c r="AJ31" s="78">
        <v>40</v>
      </c>
      <c r="AK31" s="78">
        <v>60</v>
      </c>
      <c r="AL31" s="78">
        <v>57</v>
      </c>
      <c r="AM31" s="78">
        <v>35</v>
      </c>
      <c r="AN31" s="78">
        <v>45</v>
      </c>
      <c r="AO31" s="78">
        <v>44</v>
      </c>
      <c r="AP31" s="78">
        <v>50</v>
      </c>
      <c r="AQ31" s="78">
        <v>70</v>
      </c>
      <c r="AR31" s="78">
        <v>57</v>
      </c>
      <c r="AS31" s="78">
        <v>40</v>
      </c>
      <c r="AT31" s="78">
        <v>55</v>
      </c>
      <c r="AU31" s="78">
        <v>44</v>
      </c>
      <c r="AV31" s="78">
        <v>55</v>
      </c>
      <c r="AW31" s="78">
        <v>80</v>
      </c>
      <c r="AX31" s="78">
        <v>66</v>
      </c>
      <c r="AY31" s="78">
        <v>45</v>
      </c>
      <c r="AZ31" s="78">
        <v>60</v>
      </c>
      <c r="BA31" s="78">
        <v>51</v>
      </c>
    </row>
    <row r="32" spans="1:53" x14ac:dyDescent="0.25">
      <c r="A32" s="78">
        <v>24</v>
      </c>
      <c r="B32" s="78" t="s">
        <v>806</v>
      </c>
      <c r="C32" s="78" t="s">
        <v>645</v>
      </c>
      <c r="D32" s="56">
        <v>16.5</v>
      </c>
      <c r="E32" s="57">
        <f t="shared" si="13"/>
        <v>0.64960629921259849</v>
      </c>
      <c r="F32" s="57">
        <f t="shared" si="14"/>
        <v>213.8246499849553</v>
      </c>
      <c r="G32" s="273">
        <f t="shared" si="3"/>
        <v>0.33142887033442142</v>
      </c>
      <c r="H32" s="278">
        <f t="shared" si="4"/>
        <v>2.6830413385826772</v>
      </c>
      <c r="I32" s="258">
        <v>0.21325459317585302</v>
      </c>
      <c r="J32" s="278">
        <f t="shared" si="5"/>
        <v>4.4813650000000003</v>
      </c>
      <c r="K32" s="258">
        <v>0.21325459317585302</v>
      </c>
      <c r="L32" s="274">
        <f t="shared" si="6"/>
        <v>55</v>
      </c>
      <c r="M32" s="274">
        <f t="shared" si="7"/>
        <v>80</v>
      </c>
      <c r="N32" s="274">
        <f t="shared" si="8"/>
        <v>66</v>
      </c>
      <c r="O32" s="274">
        <f t="shared" si="9"/>
        <v>45</v>
      </c>
      <c r="P32" s="274">
        <f t="shared" si="10"/>
        <v>60</v>
      </c>
      <c r="Q32" s="274">
        <f t="shared" si="11"/>
        <v>51</v>
      </c>
      <c r="R32" s="78">
        <v>3.1</v>
      </c>
      <c r="T32" s="149">
        <f t="shared" si="1"/>
        <v>421.99457269578704</v>
      </c>
      <c r="V32" s="83">
        <v>8.3569999999999993</v>
      </c>
      <c r="W32" s="75">
        <f t="shared" si="2"/>
        <v>16.492993881981445</v>
      </c>
      <c r="X32" s="78">
        <v>24</v>
      </c>
      <c r="Y32" s="76"/>
      <c r="Z32" s="76">
        <v>20.100000000000001</v>
      </c>
      <c r="AA32" s="144">
        <f t="shared" si="12"/>
        <v>317.30871199420312</v>
      </c>
      <c r="AB32" s="78" t="s">
        <v>806</v>
      </c>
      <c r="AC32" s="258">
        <v>2.5590551181102361</v>
      </c>
      <c r="AD32" s="258">
        <v>0.21325459317585302</v>
      </c>
      <c r="AE32" s="258">
        <v>4.2699999999999996</v>
      </c>
      <c r="AF32" s="258">
        <v>0.21325459317585302</v>
      </c>
      <c r="AJ32" s="78">
        <v>40</v>
      </c>
      <c r="AK32" s="78">
        <v>60</v>
      </c>
      <c r="AL32" s="78">
        <v>57</v>
      </c>
      <c r="AM32" s="78">
        <v>35</v>
      </c>
      <c r="AN32" s="78">
        <v>45</v>
      </c>
      <c r="AO32" s="78">
        <v>44</v>
      </c>
      <c r="AP32" s="78">
        <v>50</v>
      </c>
      <c r="AQ32" s="78">
        <v>70</v>
      </c>
      <c r="AR32" s="78">
        <v>57</v>
      </c>
      <c r="AS32" s="78">
        <v>40</v>
      </c>
      <c r="AT32" s="78">
        <v>55</v>
      </c>
      <c r="AU32" s="78">
        <v>44</v>
      </c>
      <c r="AV32" s="78">
        <v>55</v>
      </c>
      <c r="AW32" s="78">
        <v>80</v>
      </c>
      <c r="AX32" s="78">
        <v>66</v>
      </c>
      <c r="AY32" s="78">
        <v>45</v>
      </c>
      <c r="AZ32" s="78">
        <v>60</v>
      </c>
      <c r="BA32" s="78">
        <v>51</v>
      </c>
    </row>
    <row r="33" spans="1:53" x14ac:dyDescent="0.25">
      <c r="A33" s="78">
        <v>25</v>
      </c>
      <c r="B33" s="78" t="s">
        <v>808</v>
      </c>
      <c r="C33" s="78" t="s">
        <v>600</v>
      </c>
      <c r="D33" s="56">
        <v>16.100000000000001</v>
      </c>
      <c r="E33" s="57">
        <f t="shared" si="13"/>
        <v>0.63385826771653553</v>
      </c>
      <c r="F33" s="57">
        <f t="shared" si="14"/>
        <v>203.58305793425259</v>
      </c>
      <c r="G33" s="273">
        <f t="shared" si="3"/>
        <v>0.31555437090683336</v>
      </c>
      <c r="H33" s="278">
        <f t="shared" si="4"/>
        <v>1.6855003280839895</v>
      </c>
      <c r="I33" s="258">
        <v>0.20997375328083989</v>
      </c>
      <c r="J33" s="278">
        <f t="shared" si="5"/>
        <v>2.7916700000000003</v>
      </c>
      <c r="K33" s="258">
        <v>0.20997375328083989</v>
      </c>
      <c r="L33" s="274">
        <f t="shared" si="6"/>
        <v>75</v>
      </c>
      <c r="M33" s="274">
        <f t="shared" si="7"/>
        <v>105</v>
      </c>
      <c r="N33" s="274">
        <f t="shared" si="8"/>
        <v>89</v>
      </c>
      <c r="O33" s="274">
        <f t="shared" si="9"/>
        <v>60</v>
      </c>
      <c r="P33" s="274">
        <f t="shared" si="10"/>
        <v>80</v>
      </c>
      <c r="Q33" s="274">
        <f t="shared" si="11"/>
        <v>69</v>
      </c>
      <c r="R33" s="78">
        <v>5</v>
      </c>
      <c r="T33" s="149">
        <f t="shared" si="1"/>
        <v>401.78223393379233</v>
      </c>
      <c r="V33" s="83">
        <v>13.3</v>
      </c>
      <c r="W33" s="75">
        <f t="shared" si="2"/>
        <v>26.248273139925004</v>
      </c>
      <c r="X33" s="78">
        <v>25</v>
      </c>
      <c r="Y33" s="76"/>
      <c r="Z33" s="76">
        <v>23.4</v>
      </c>
      <c r="AA33" s="144">
        <f t="shared" si="12"/>
        <v>430.05261834990671</v>
      </c>
      <c r="AB33" s="78" t="s">
        <v>808</v>
      </c>
      <c r="AC33" s="258">
        <v>1.6076115485564304</v>
      </c>
      <c r="AD33" s="258">
        <v>0.20997375328083989</v>
      </c>
      <c r="AE33" s="258">
        <v>2.66</v>
      </c>
      <c r="AF33" s="258">
        <v>0.20997375328083989</v>
      </c>
      <c r="AJ33" s="78">
        <v>55</v>
      </c>
      <c r="AK33" s="78">
        <v>80</v>
      </c>
      <c r="AL33" s="78">
        <v>76</v>
      </c>
      <c r="AM33" s="78">
        <v>40</v>
      </c>
      <c r="AN33" s="78">
        <v>60</v>
      </c>
      <c r="AO33" s="78">
        <v>59</v>
      </c>
      <c r="AP33" s="78">
        <v>65</v>
      </c>
      <c r="AQ33" s="78">
        <v>95</v>
      </c>
      <c r="AR33" s="78">
        <v>76</v>
      </c>
      <c r="AS33" s="78">
        <v>50</v>
      </c>
      <c r="AT33" s="78">
        <v>75</v>
      </c>
      <c r="AU33" s="78">
        <v>59</v>
      </c>
      <c r="AV33" s="78">
        <v>75</v>
      </c>
      <c r="AW33" s="78">
        <v>105</v>
      </c>
      <c r="AX33" s="78">
        <v>89</v>
      </c>
      <c r="AY33" s="78">
        <v>60</v>
      </c>
      <c r="AZ33" s="78">
        <v>80</v>
      </c>
      <c r="BA33" s="78">
        <v>69</v>
      </c>
    </row>
    <row r="34" spans="1:53" x14ac:dyDescent="0.25">
      <c r="A34" s="78">
        <v>26</v>
      </c>
      <c r="B34" s="78" t="s">
        <v>808</v>
      </c>
      <c r="C34" s="78" t="s">
        <v>638</v>
      </c>
      <c r="D34" s="56">
        <v>17.100000000000001</v>
      </c>
      <c r="E34" s="57">
        <f t="shared" si="13"/>
        <v>0.67322834645669305</v>
      </c>
      <c r="F34" s="57">
        <f t="shared" si="14"/>
        <v>229.65827695904787</v>
      </c>
      <c r="G34" s="273">
        <f t="shared" si="3"/>
        <v>0.35597104122860668</v>
      </c>
      <c r="H34" s="278">
        <f t="shared" si="4"/>
        <v>1.6855003280839895</v>
      </c>
      <c r="I34" s="258">
        <v>0.20997375328083989</v>
      </c>
      <c r="J34" s="278">
        <f t="shared" si="5"/>
        <v>2.7916700000000003</v>
      </c>
      <c r="K34" s="258">
        <v>0.20997375328083989</v>
      </c>
      <c r="L34" s="274">
        <f t="shared" si="6"/>
        <v>75</v>
      </c>
      <c r="M34" s="274">
        <f t="shared" si="7"/>
        <v>105</v>
      </c>
      <c r="N34" s="274">
        <f t="shared" si="8"/>
        <v>89</v>
      </c>
      <c r="O34" s="274">
        <f t="shared" si="9"/>
        <v>60</v>
      </c>
      <c r="P34" s="274">
        <f t="shared" si="10"/>
        <v>80</v>
      </c>
      <c r="Q34" s="274">
        <f t="shared" si="11"/>
        <v>69</v>
      </c>
      <c r="R34" s="78">
        <v>5</v>
      </c>
      <c r="T34" s="149">
        <f t="shared" si="1"/>
        <v>453.24309642598746</v>
      </c>
      <c r="V34" s="83">
        <v>13.3</v>
      </c>
      <c r="W34" s="75">
        <f t="shared" si="2"/>
        <v>26.248273139925004</v>
      </c>
      <c r="X34" s="78">
        <v>26</v>
      </c>
      <c r="Y34" s="76"/>
      <c r="Z34" s="76">
        <v>23.4</v>
      </c>
      <c r="AA34" s="144">
        <f t="shared" si="12"/>
        <v>430.05261834990671</v>
      </c>
      <c r="AB34" s="78" t="s">
        <v>808</v>
      </c>
      <c r="AC34" s="258">
        <v>1.6076115485564304</v>
      </c>
      <c r="AD34" s="258">
        <v>0.20997375328083989</v>
      </c>
      <c r="AE34" s="258">
        <v>2.66</v>
      </c>
      <c r="AF34" s="258">
        <v>0.20997375328083989</v>
      </c>
      <c r="AJ34" s="78">
        <v>55</v>
      </c>
      <c r="AK34" s="78">
        <v>80</v>
      </c>
      <c r="AL34" s="78">
        <v>76</v>
      </c>
      <c r="AM34" s="78">
        <v>40</v>
      </c>
      <c r="AN34" s="78">
        <v>60</v>
      </c>
      <c r="AO34" s="78">
        <v>59</v>
      </c>
      <c r="AP34" s="78">
        <v>65</v>
      </c>
      <c r="AQ34" s="78">
        <v>95</v>
      </c>
      <c r="AR34" s="78">
        <v>76</v>
      </c>
      <c r="AS34" s="78">
        <v>50</v>
      </c>
      <c r="AT34" s="78">
        <v>75</v>
      </c>
      <c r="AU34" s="78">
        <v>59</v>
      </c>
      <c r="AV34" s="78">
        <v>75</v>
      </c>
      <c r="AW34" s="78">
        <v>105</v>
      </c>
      <c r="AX34" s="78">
        <v>89</v>
      </c>
      <c r="AY34" s="78">
        <v>60</v>
      </c>
      <c r="AZ34" s="78">
        <v>80</v>
      </c>
      <c r="BA34" s="78">
        <v>69</v>
      </c>
    </row>
    <row r="35" spans="1:53" x14ac:dyDescent="0.25">
      <c r="A35" s="78">
        <v>27</v>
      </c>
      <c r="B35" s="78" t="s">
        <v>808</v>
      </c>
      <c r="C35" s="78" t="s">
        <v>645</v>
      </c>
      <c r="D35" s="56">
        <v>18.8</v>
      </c>
      <c r="E35" s="57">
        <f t="shared" si="13"/>
        <v>0.74015748031496065</v>
      </c>
      <c r="F35" s="57">
        <f t="shared" si="14"/>
        <v>277.59112687119415</v>
      </c>
      <c r="G35" s="273">
        <f t="shared" si="3"/>
        <v>0.43026710718456534</v>
      </c>
      <c r="H35" s="278">
        <f t="shared" si="4"/>
        <v>1.6855003280839895</v>
      </c>
      <c r="I35" s="258">
        <v>0.20997375328083989</v>
      </c>
      <c r="J35" s="278">
        <f t="shared" si="5"/>
        <v>2.7916700000000003</v>
      </c>
      <c r="K35" s="258">
        <v>0.20997375328083989</v>
      </c>
      <c r="L35" s="274">
        <f t="shared" si="6"/>
        <v>75</v>
      </c>
      <c r="M35" s="274">
        <f t="shared" si="7"/>
        <v>105</v>
      </c>
      <c r="N35" s="274">
        <f t="shared" si="8"/>
        <v>89</v>
      </c>
      <c r="O35" s="274">
        <f t="shared" si="9"/>
        <v>60</v>
      </c>
      <c r="P35" s="274">
        <f t="shared" si="10"/>
        <v>80</v>
      </c>
      <c r="Q35" s="274">
        <f t="shared" si="11"/>
        <v>69</v>
      </c>
      <c r="R35" s="78">
        <v>5</v>
      </c>
      <c r="T35" s="149">
        <f t="shared" si="1"/>
        <v>547.84118190486311</v>
      </c>
      <c r="V35" s="83">
        <v>13.3</v>
      </c>
      <c r="W35" s="75">
        <f t="shared" si="2"/>
        <v>26.248273139925004</v>
      </c>
      <c r="X35" s="78">
        <v>27</v>
      </c>
      <c r="Y35" s="76"/>
      <c r="Z35" s="76">
        <v>23.4</v>
      </c>
      <c r="AA35" s="144">
        <f t="shared" si="12"/>
        <v>430.05261834990671</v>
      </c>
      <c r="AB35" s="78" t="s">
        <v>808</v>
      </c>
      <c r="AC35" s="258">
        <v>1.6076115485564304</v>
      </c>
      <c r="AD35" s="258">
        <v>0.20997375328083989</v>
      </c>
      <c r="AE35" s="258">
        <v>2.66</v>
      </c>
      <c r="AF35" s="258">
        <v>0.20997375328083989</v>
      </c>
      <c r="AJ35" s="78">
        <v>55</v>
      </c>
      <c r="AK35" s="78">
        <v>80</v>
      </c>
      <c r="AL35" s="78">
        <v>76</v>
      </c>
      <c r="AM35" s="78">
        <v>40</v>
      </c>
      <c r="AN35" s="78">
        <v>60</v>
      </c>
      <c r="AO35" s="78">
        <v>59</v>
      </c>
      <c r="AP35" s="78">
        <v>65</v>
      </c>
      <c r="AQ35" s="78">
        <v>95</v>
      </c>
      <c r="AR35" s="78">
        <v>76</v>
      </c>
      <c r="AS35" s="78">
        <v>50</v>
      </c>
      <c r="AT35" s="78">
        <v>75</v>
      </c>
      <c r="AU35" s="78">
        <v>59</v>
      </c>
      <c r="AV35" s="78">
        <v>75</v>
      </c>
      <c r="AW35" s="78">
        <v>105</v>
      </c>
      <c r="AX35" s="78">
        <v>89</v>
      </c>
      <c r="AY35" s="78">
        <v>60</v>
      </c>
      <c r="AZ35" s="78">
        <v>80</v>
      </c>
      <c r="BA35" s="78">
        <v>69</v>
      </c>
    </row>
    <row r="36" spans="1:53" x14ac:dyDescent="0.25">
      <c r="A36" s="78">
        <v>28</v>
      </c>
      <c r="B36" s="78" t="s">
        <v>810</v>
      </c>
      <c r="C36" s="78" t="s">
        <v>600</v>
      </c>
      <c r="D36" s="56">
        <v>19.600000000000001</v>
      </c>
      <c r="E36" s="57">
        <f t="shared" si="13"/>
        <v>0.77165354330708669</v>
      </c>
      <c r="F36" s="57">
        <f t="shared" si="14"/>
        <v>301.71855845076379</v>
      </c>
      <c r="G36" s="273">
        <f t="shared" si="3"/>
        <v>0.46766470092808576</v>
      </c>
      <c r="H36" s="278">
        <f t="shared" si="4"/>
        <v>1.0663369422572178</v>
      </c>
      <c r="I36" s="258">
        <v>0.19685039370078738</v>
      </c>
      <c r="J36" s="278">
        <f t="shared" si="5"/>
        <v>1.7526650000000001</v>
      </c>
      <c r="K36" s="258">
        <v>0.19685039370078738</v>
      </c>
      <c r="L36" s="274">
        <f t="shared" si="6"/>
        <v>95</v>
      </c>
      <c r="M36" s="274">
        <f t="shared" si="7"/>
        <v>140</v>
      </c>
      <c r="N36" s="274">
        <f t="shared" si="8"/>
        <v>117</v>
      </c>
      <c r="O36" s="274">
        <f t="shared" si="9"/>
        <v>75</v>
      </c>
      <c r="P36" s="274">
        <f t="shared" si="10"/>
        <v>110</v>
      </c>
      <c r="Q36" s="274">
        <f t="shared" si="11"/>
        <v>91</v>
      </c>
      <c r="R36" s="78">
        <v>8</v>
      </c>
      <c r="T36" s="149">
        <f t="shared" si="1"/>
        <v>595.45797996993042</v>
      </c>
      <c r="V36" s="83">
        <v>21.15</v>
      </c>
      <c r="W36" s="75">
        <f t="shared" si="2"/>
        <v>41.740674955595019</v>
      </c>
      <c r="X36" s="78">
        <v>28</v>
      </c>
      <c r="Y36" s="76"/>
      <c r="Z36" s="76">
        <v>24.4</v>
      </c>
      <c r="AA36" s="144">
        <f t="shared" si="12"/>
        <v>467.59465056030473</v>
      </c>
      <c r="AB36" s="78" t="s">
        <v>810</v>
      </c>
      <c r="AC36" s="258">
        <v>1.0170603674540681</v>
      </c>
      <c r="AD36" s="258">
        <v>0.19685039370078738</v>
      </c>
      <c r="AE36" s="258">
        <v>1.67</v>
      </c>
      <c r="AF36" s="258">
        <v>0.19685039370078738</v>
      </c>
      <c r="AJ36" s="78">
        <v>70</v>
      </c>
      <c r="AK36" s="78">
        <v>105</v>
      </c>
      <c r="AL36" s="78">
        <v>101</v>
      </c>
      <c r="AM36" s="78">
        <v>55</v>
      </c>
      <c r="AN36" s="78">
        <v>80</v>
      </c>
      <c r="AO36" s="78">
        <v>78</v>
      </c>
      <c r="AP36" s="78">
        <v>85</v>
      </c>
      <c r="AQ36" s="78">
        <v>125</v>
      </c>
      <c r="AR36" s="78">
        <v>101</v>
      </c>
      <c r="AS36" s="78">
        <v>65</v>
      </c>
      <c r="AT36" s="78">
        <v>100</v>
      </c>
      <c r="AU36" s="78">
        <v>78</v>
      </c>
      <c r="AV36" s="78">
        <v>95</v>
      </c>
      <c r="AW36" s="78">
        <v>140</v>
      </c>
      <c r="AX36" s="78">
        <v>117</v>
      </c>
      <c r="AY36" s="78">
        <v>75</v>
      </c>
      <c r="AZ36" s="78">
        <v>110</v>
      </c>
      <c r="BA36" s="78">
        <v>91</v>
      </c>
    </row>
    <row r="37" spans="1:53" x14ac:dyDescent="0.25">
      <c r="A37" s="78">
        <v>29</v>
      </c>
      <c r="B37" s="78" t="s">
        <v>810</v>
      </c>
      <c r="C37" s="78" t="s">
        <v>638</v>
      </c>
      <c r="D37" s="56">
        <v>20.9</v>
      </c>
      <c r="E37" s="57">
        <f t="shared" si="13"/>
        <v>0.82283464566929132</v>
      </c>
      <c r="F37" s="57">
        <f t="shared" si="14"/>
        <v>343.06977175363932</v>
      </c>
      <c r="G37" s="273">
        <f t="shared" si="3"/>
        <v>0.53175920973656043</v>
      </c>
      <c r="H37" s="278">
        <f t="shared" si="4"/>
        <v>1.0663369422572178</v>
      </c>
      <c r="I37" s="258">
        <v>0.19685039370078738</v>
      </c>
      <c r="J37" s="278">
        <f t="shared" si="5"/>
        <v>1.7526650000000001</v>
      </c>
      <c r="K37" s="258">
        <v>0.19685039370078738</v>
      </c>
      <c r="L37" s="274">
        <f t="shared" si="6"/>
        <v>95</v>
      </c>
      <c r="M37" s="274">
        <f t="shared" si="7"/>
        <v>140</v>
      </c>
      <c r="N37" s="274">
        <f t="shared" si="8"/>
        <v>117</v>
      </c>
      <c r="O37" s="274">
        <f t="shared" si="9"/>
        <v>75</v>
      </c>
      <c r="P37" s="274">
        <f t="shared" si="10"/>
        <v>110</v>
      </c>
      <c r="Q37" s="274">
        <f t="shared" si="11"/>
        <v>91</v>
      </c>
      <c r="R37" s="78">
        <v>8</v>
      </c>
      <c r="T37" s="149">
        <f t="shared" si="1"/>
        <v>677.06684774746259</v>
      </c>
      <c r="V37" s="83">
        <v>21.15</v>
      </c>
      <c r="W37" s="75">
        <f t="shared" si="2"/>
        <v>41.740674955595019</v>
      </c>
      <c r="X37" s="78">
        <v>29</v>
      </c>
      <c r="Y37" s="76"/>
      <c r="Z37" s="76">
        <v>24.4</v>
      </c>
      <c r="AA37" s="144">
        <f t="shared" si="12"/>
        <v>467.59465056030473</v>
      </c>
      <c r="AB37" s="78" t="s">
        <v>810</v>
      </c>
      <c r="AC37" s="258">
        <v>1.0170603674540681</v>
      </c>
      <c r="AD37" s="258">
        <v>0.19685039370078738</v>
      </c>
      <c r="AE37" s="258">
        <v>1.67</v>
      </c>
      <c r="AF37" s="258">
        <v>0.19685039370078738</v>
      </c>
      <c r="AJ37" s="78">
        <v>70</v>
      </c>
      <c r="AK37" s="78">
        <v>105</v>
      </c>
      <c r="AL37" s="78">
        <v>101</v>
      </c>
      <c r="AM37" s="78">
        <v>55</v>
      </c>
      <c r="AN37" s="78">
        <v>80</v>
      </c>
      <c r="AO37" s="78">
        <v>78</v>
      </c>
      <c r="AP37" s="78">
        <v>85</v>
      </c>
      <c r="AQ37" s="78">
        <v>125</v>
      </c>
      <c r="AR37" s="78">
        <v>101</v>
      </c>
      <c r="AS37" s="78">
        <v>65</v>
      </c>
      <c r="AT37" s="78">
        <v>100</v>
      </c>
      <c r="AU37" s="78">
        <v>78</v>
      </c>
      <c r="AV37" s="78">
        <v>95</v>
      </c>
      <c r="AW37" s="78">
        <v>140</v>
      </c>
      <c r="AX37" s="78">
        <v>117</v>
      </c>
      <c r="AY37" s="78">
        <v>75</v>
      </c>
      <c r="AZ37" s="78">
        <v>110</v>
      </c>
      <c r="BA37" s="78">
        <v>91</v>
      </c>
    </row>
    <row r="38" spans="1:53" x14ac:dyDescent="0.25">
      <c r="A38" s="78">
        <v>30</v>
      </c>
      <c r="B38" s="78" t="s">
        <v>810</v>
      </c>
      <c r="C38" s="78" t="s">
        <v>645</v>
      </c>
      <c r="D38" s="56">
        <v>24.1</v>
      </c>
      <c r="E38" s="57">
        <f t="shared" si="13"/>
        <v>0.94881889763779537</v>
      </c>
      <c r="F38" s="57">
        <f t="shared" si="14"/>
        <v>456.167107282872</v>
      </c>
      <c r="G38" s="273">
        <f t="shared" si="3"/>
        <v>0.70706043040931243</v>
      </c>
      <c r="H38" s="278">
        <f t="shared" si="4"/>
        <v>1.0663369422572178</v>
      </c>
      <c r="I38" s="258">
        <v>0.19685039370078738</v>
      </c>
      <c r="J38" s="278">
        <f t="shared" si="5"/>
        <v>1.7526650000000001</v>
      </c>
      <c r="K38" s="258">
        <v>0.19685039370078738</v>
      </c>
      <c r="L38" s="274">
        <f t="shared" si="6"/>
        <v>95</v>
      </c>
      <c r="M38" s="274">
        <f t="shared" si="7"/>
        <v>140</v>
      </c>
      <c r="N38" s="274">
        <f t="shared" si="8"/>
        <v>117</v>
      </c>
      <c r="O38" s="274">
        <f t="shared" si="9"/>
        <v>75</v>
      </c>
      <c r="P38" s="274">
        <f t="shared" si="10"/>
        <v>110</v>
      </c>
      <c r="Q38" s="274">
        <f t="shared" si="11"/>
        <v>91</v>
      </c>
      <c r="R38" s="78">
        <v>8</v>
      </c>
      <c r="T38" s="149">
        <f t="shared" si="1"/>
        <v>900.27058867746587</v>
      </c>
      <c r="V38" s="83">
        <v>21.15</v>
      </c>
      <c r="W38" s="75">
        <f t="shared" si="2"/>
        <v>41.740674955595019</v>
      </c>
      <c r="X38" s="78">
        <v>30</v>
      </c>
      <c r="Y38" s="76"/>
      <c r="Z38" s="76">
        <v>24.4</v>
      </c>
      <c r="AA38" s="144">
        <f t="shared" si="12"/>
        <v>467.59465056030473</v>
      </c>
      <c r="AB38" s="78" t="s">
        <v>810</v>
      </c>
      <c r="AC38" s="258">
        <v>1.0170603674540681</v>
      </c>
      <c r="AD38" s="258">
        <v>0.19685039370078738</v>
      </c>
      <c r="AE38" s="258">
        <v>1.67</v>
      </c>
      <c r="AF38" s="258">
        <v>0.19685039370078738</v>
      </c>
      <c r="AJ38" s="78">
        <v>70</v>
      </c>
      <c r="AK38" s="78">
        <v>105</v>
      </c>
      <c r="AL38" s="78">
        <v>101</v>
      </c>
      <c r="AM38" s="78">
        <v>55</v>
      </c>
      <c r="AN38" s="78">
        <v>80</v>
      </c>
      <c r="AO38" s="78">
        <v>78</v>
      </c>
      <c r="AP38" s="78">
        <v>85</v>
      </c>
      <c r="AQ38" s="78">
        <v>125</v>
      </c>
      <c r="AR38" s="78">
        <v>101</v>
      </c>
      <c r="AS38" s="78">
        <v>65</v>
      </c>
      <c r="AT38" s="78">
        <v>100</v>
      </c>
      <c r="AU38" s="78">
        <v>78</v>
      </c>
      <c r="AV38" s="78">
        <v>95</v>
      </c>
      <c r="AW38" s="78">
        <v>140</v>
      </c>
      <c r="AX38" s="78">
        <v>117</v>
      </c>
      <c r="AY38" s="78">
        <v>75</v>
      </c>
      <c r="AZ38" s="78">
        <v>110</v>
      </c>
      <c r="BA38" s="78">
        <v>91</v>
      </c>
    </row>
    <row r="39" spans="1:53" x14ac:dyDescent="0.25">
      <c r="A39" s="78">
        <v>31</v>
      </c>
      <c r="B39" s="78" t="s">
        <v>609</v>
      </c>
      <c r="C39" s="78" t="s">
        <v>600</v>
      </c>
      <c r="D39" s="56">
        <v>23.6</v>
      </c>
      <c r="E39" s="57">
        <f t="shared" si="13"/>
        <v>0.92913385826771666</v>
      </c>
      <c r="F39" s="57">
        <f t="shared" si="14"/>
        <v>437.43536108584283</v>
      </c>
      <c r="G39" s="273">
        <f t="shared" si="3"/>
        <v>0.67802616573538788</v>
      </c>
      <c r="H39" s="278">
        <f t="shared" si="4"/>
        <v>0.68795931758530193</v>
      </c>
      <c r="I39" s="258">
        <v>0.18700787401574803</v>
      </c>
      <c r="J39" s="278">
        <f t="shared" si="5"/>
        <v>1.1019750000000001</v>
      </c>
      <c r="K39" s="258">
        <v>0.18700787401574803</v>
      </c>
      <c r="L39" s="274">
        <f t="shared" si="6"/>
        <v>130</v>
      </c>
      <c r="M39" s="274">
        <f t="shared" si="7"/>
        <v>190</v>
      </c>
      <c r="N39" s="274">
        <f t="shared" si="8"/>
        <v>158</v>
      </c>
      <c r="O39" s="274">
        <f t="shared" si="9"/>
        <v>100</v>
      </c>
      <c r="P39" s="274">
        <f t="shared" si="10"/>
        <v>150</v>
      </c>
      <c r="Q39" s="274">
        <f t="shared" si="11"/>
        <v>123</v>
      </c>
      <c r="R39" s="78">
        <v>12</v>
      </c>
      <c r="T39" s="149">
        <f t="shared" si="1"/>
        <v>863.30246908593404</v>
      </c>
      <c r="V39" s="83">
        <v>33.619999999999997</v>
      </c>
      <c r="W39" s="75">
        <f t="shared" si="2"/>
        <v>66.350897967238993</v>
      </c>
      <c r="X39" s="78">
        <v>31</v>
      </c>
      <c r="Y39" s="76"/>
      <c r="Z39" s="76">
        <v>27.7</v>
      </c>
      <c r="AA39" s="147">
        <f t="shared" si="12"/>
        <v>602.62815679322807</v>
      </c>
      <c r="AB39" s="78" t="s">
        <v>609</v>
      </c>
      <c r="AC39" s="258">
        <v>0.65616797900262469</v>
      </c>
      <c r="AD39" s="258">
        <v>0.18700787401574803</v>
      </c>
      <c r="AE39" s="258">
        <v>1.05</v>
      </c>
      <c r="AF39" s="258">
        <v>0.18700787401574803</v>
      </c>
      <c r="AJ39" s="78">
        <v>95</v>
      </c>
      <c r="AK39" s="78">
        <v>140</v>
      </c>
      <c r="AL39" s="78">
        <v>135</v>
      </c>
      <c r="AM39" s="78">
        <v>75</v>
      </c>
      <c r="AN39" s="78">
        <v>110</v>
      </c>
      <c r="AO39" s="78">
        <v>106</v>
      </c>
      <c r="AP39" s="78">
        <v>115</v>
      </c>
      <c r="AQ39" s="78">
        <v>170</v>
      </c>
      <c r="AR39" s="78">
        <v>135</v>
      </c>
      <c r="AS39" s="78">
        <v>90</v>
      </c>
      <c r="AT39" s="78">
        <v>135</v>
      </c>
      <c r="AU39" s="78">
        <v>106</v>
      </c>
      <c r="AV39" s="78">
        <v>130</v>
      </c>
      <c r="AW39" s="78">
        <v>190</v>
      </c>
      <c r="AX39" s="78">
        <v>158</v>
      </c>
      <c r="AY39" s="78">
        <v>100</v>
      </c>
      <c r="AZ39" s="78">
        <v>150</v>
      </c>
      <c r="BA39" s="78">
        <v>123</v>
      </c>
    </row>
    <row r="40" spans="1:53" x14ac:dyDescent="0.25">
      <c r="A40" s="78">
        <v>32</v>
      </c>
      <c r="B40" s="78" t="s">
        <v>609</v>
      </c>
      <c r="C40" s="78" t="s">
        <v>638</v>
      </c>
      <c r="D40" s="56">
        <v>25.1</v>
      </c>
      <c r="E40" s="57">
        <f t="shared" si="13"/>
        <v>0.98818897637795289</v>
      </c>
      <c r="F40" s="57">
        <f t="shared" si="14"/>
        <v>494.80869692202646</v>
      </c>
      <c r="G40" s="273">
        <f t="shared" si="3"/>
        <v>0.76695501413916933</v>
      </c>
      <c r="H40" s="278">
        <f t="shared" si="4"/>
        <v>0.68795931758530193</v>
      </c>
      <c r="I40" s="258">
        <v>0.18700787401574803</v>
      </c>
      <c r="J40" s="278">
        <f t="shared" si="5"/>
        <v>1.1019750000000001</v>
      </c>
      <c r="K40" s="258">
        <v>0.18700787401574803</v>
      </c>
      <c r="L40" s="274">
        <f t="shared" si="6"/>
        <v>130</v>
      </c>
      <c r="M40" s="274">
        <f t="shared" si="7"/>
        <v>190</v>
      </c>
      <c r="N40" s="274">
        <f t="shared" si="8"/>
        <v>158</v>
      </c>
      <c r="O40" s="274">
        <f t="shared" si="9"/>
        <v>100</v>
      </c>
      <c r="P40" s="274">
        <f t="shared" si="10"/>
        <v>150</v>
      </c>
      <c r="Q40" s="274">
        <f t="shared" si="11"/>
        <v>123</v>
      </c>
      <c r="R40" s="78">
        <v>12</v>
      </c>
      <c r="T40" s="149">
        <f t="shared" si="1"/>
        <v>976.53186682855028</v>
      </c>
      <c r="V40" s="83">
        <v>33.619999999999997</v>
      </c>
      <c r="W40" s="75">
        <f t="shared" si="2"/>
        <v>66.350897967238993</v>
      </c>
      <c r="X40" s="78">
        <v>32</v>
      </c>
      <c r="Y40" s="76"/>
      <c r="Z40" s="76">
        <v>27.7</v>
      </c>
      <c r="AA40" s="147">
        <f t="shared" si="12"/>
        <v>602.62815679322807</v>
      </c>
      <c r="AB40" s="78" t="s">
        <v>609</v>
      </c>
      <c r="AC40" s="258">
        <v>0.65616797900262469</v>
      </c>
      <c r="AD40" s="258">
        <v>0.18700787401574803</v>
      </c>
      <c r="AE40" s="258">
        <v>1.05</v>
      </c>
      <c r="AF40" s="258">
        <v>0.18700787401574803</v>
      </c>
      <c r="AJ40" s="78">
        <v>95</v>
      </c>
      <c r="AK40" s="78">
        <v>140</v>
      </c>
      <c r="AL40" s="78">
        <v>135</v>
      </c>
      <c r="AM40" s="78">
        <v>75</v>
      </c>
      <c r="AN40" s="78">
        <v>110</v>
      </c>
      <c r="AO40" s="78">
        <v>106</v>
      </c>
      <c r="AP40" s="78">
        <v>115</v>
      </c>
      <c r="AQ40" s="78">
        <v>170</v>
      </c>
      <c r="AR40" s="78">
        <v>135</v>
      </c>
      <c r="AS40" s="78">
        <v>90</v>
      </c>
      <c r="AT40" s="78">
        <v>135</v>
      </c>
      <c r="AU40" s="78">
        <v>106</v>
      </c>
      <c r="AV40" s="78">
        <v>130</v>
      </c>
      <c r="AW40" s="78">
        <v>190</v>
      </c>
      <c r="AX40" s="78">
        <v>158</v>
      </c>
      <c r="AY40" s="78">
        <v>100</v>
      </c>
      <c r="AZ40" s="78">
        <v>150</v>
      </c>
      <c r="BA40" s="78">
        <v>123</v>
      </c>
    </row>
    <row r="41" spans="1:53" x14ac:dyDescent="0.25">
      <c r="A41" s="78">
        <v>33</v>
      </c>
      <c r="B41" s="78" t="s">
        <v>609</v>
      </c>
      <c r="C41" s="78" t="s">
        <v>645</v>
      </c>
      <c r="D41" s="56">
        <v>27.7</v>
      </c>
      <c r="E41" s="57">
        <f t="shared" si="13"/>
        <v>1.0905511811023623</v>
      </c>
      <c r="F41" s="57">
        <f t="shared" si="14"/>
        <v>602.62815679322807</v>
      </c>
      <c r="G41" s="273">
        <f t="shared" si="3"/>
        <v>0.9340755111805259</v>
      </c>
      <c r="H41" s="278">
        <f t="shared" si="4"/>
        <v>0.68795931758530193</v>
      </c>
      <c r="I41" s="258">
        <v>0.18700787401574803</v>
      </c>
      <c r="J41" s="278">
        <f t="shared" si="5"/>
        <v>1.1019750000000001</v>
      </c>
      <c r="K41" s="258">
        <v>0.18700787401574803</v>
      </c>
      <c r="L41" s="274">
        <f t="shared" si="6"/>
        <v>130</v>
      </c>
      <c r="M41" s="274">
        <f t="shared" si="7"/>
        <v>190</v>
      </c>
      <c r="N41" s="274">
        <f t="shared" si="8"/>
        <v>158</v>
      </c>
      <c r="O41" s="274">
        <f t="shared" si="9"/>
        <v>100</v>
      </c>
      <c r="P41" s="274">
        <f t="shared" si="10"/>
        <v>150</v>
      </c>
      <c r="Q41" s="274">
        <f t="shared" si="11"/>
        <v>123</v>
      </c>
      <c r="R41" s="78">
        <v>12</v>
      </c>
      <c r="T41" s="149">
        <f t="shared" si="1"/>
        <v>1189.3194331818197</v>
      </c>
      <c r="V41" s="83">
        <v>33.619999999999997</v>
      </c>
      <c r="W41" s="75">
        <f t="shared" si="2"/>
        <v>66.350897967238993</v>
      </c>
      <c r="X41" s="78">
        <v>33</v>
      </c>
      <c r="Y41" s="76"/>
      <c r="Z41" s="76">
        <v>27.7</v>
      </c>
      <c r="AA41" s="147">
        <f t="shared" si="12"/>
        <v>602.62815679322807</v>
      </c>
      <c r="AB41" s="78" t="s">
        <v>609</v>
      </c>
      <c r="AC41" s="258">
        <v>0.65616797900262469</v>
      </c>
      <c r="AD41" s="258">
        <v>0.18700787401574803</v>
      </c>
      <c r="AE41" s="258">
        <v>1.05</v>
      </c>
      <c r="AF41" s="258">
        <v>0.18700787401574803</v>
      </c>
      <c r="AJ41" s="78">
        <v>95</v>
      </c>
      <c r="AK41" s="78">
        <v>140</v>
      </c>
      <c r="AL41" s="78">
        <v>135</v>
      </c>
      <c r="AM41" s="78">
        <v>75</v>
      </c>
      <c r="AN41" s="78">
        <v>110</v>
      </c>
      <c r="AO41" s="78">
        <v>106</v>
      </c>
      <c r="AP41" s="78">
        <v>115</v>
      </c>
      <c r="AQ41" s="78">
        <v>170</v>
      </c>
      <c r="AR41" s="78">
        <v>135</v>
      </c>
      <c r="AS41" s="78">
        <v>90</v>
      </c>
      <c r="AT41" s="78">
        <v>135</v>
      </c>
      <c r="AU41" s="78">
        <v>106</v>
      </c>
      <c r="AV41" s="78">
        <v>130</v>
      </c>
      <c r="AW41" s="78">
        <v>190</v>
      </c>
      <c r="AX41" s="78">
        <v>158</v>
      </c>
      <c r="AY41" s="78">
        <v>100</v>
      </c>
      <c r="AZ41" s="78">
        <v>150</v>
      </c>
      <c r="BA41" s="78">
        <v>123</v>
      </c>
    </row>
    <row r="42" spans="1:53" x14ac:dyDescent="0.25">
      <c r="A42" s="78">
        <v>34</v>
      </c>
      <c r="B42" s="78" t="s">
        <v>598</v>
      </c>
      <c r="C42" s="78" t="s">
        <v>600</v>
      </c>
      <c r="D42" s="56">
        <v>28.2</v>
      </c>
      <c r="E42" s="57">
        <f t="shared" si="13"/>
        <v>1.110236220472441</v>
      </c>
      <c r="F42" s="57">
        <f t="shared" si="14"/>
        <v>624.58003546018676</v>
      </c>
      <c r="G42" s="273">
        <f t="shared" si="3"/>
        <v>0.96810099116527182</v>
      </c>
      <c r="H42" s="278">
        <f t="shared" si="4"/>
        <v>0.41277559055118113</v>
      </c>
      <c r="I42" s="258">
        <v>0.18044619422572178</v>
      </c>
      <c r="J42" s="278">
        <f t="shared" si="5"/>
        <v>0.68847200000000008</v>
      </c>
      <c r="K42" s="258">
        <v>0.18044619422572178</v>
      </c>
      <c r="L42" s="274">
        <f t="shared" si="6"/>
        <v>170</v>
      </c>
      <c r="M42" s="274">
        <f t="shared" si="7"/>
        <v>260</v>
      </c>
      <c r="N42" s="274">
        <f t="shared" si="8"/>
        <v>214</v>
      </c>
      <c r="O42" s="274">
        <f t="shared" si="9"/>
        <v>135</v>
      </c>
      <c r="P42" s="274">
        <f t="shared" si="10"/>
        <v>205</v>
      </c>
      <c r="Q42" s="274">
        <f t="shared" si="11"/>
        <v>167</v>
      </c>
      <c r="R42" s="78">
        <v>20</v>
      </c>
      <c r="T42" s="149">
        <f t="shared" si="1"/>
        <v>1232.6426592859418</v>
      </c>
      <c r="V42" s="83">
        <v>53.21</v>
      </c>
      <c r="W42" s="75">
        <f t="shared" si="2"/>
        <v>105.01282810341424</v>
      </c>
      <c r="X42" s="78">
        <v>34</v>
      </c>
      <c r="Y42" s="76"/>
      <c r="Z42" s="76">
        <v>33</v>
      </c>
      <c r="AA42" s="147">
        <f t="shared" si="12"/>
        <v>855.2985999398212</v>
      </c>
      <c r="AB42" s="78" t="s">
        <v>598</v>
      </c>
      <c r="AC42" s="258">
        <v>0.39370078740157477</v>
      </c>
      <c r="AD42" s="258">
        <v>0.18044619422572178</v>
      </c>
      <c r="AE42" s="258">
        <v>0.65600000000000003</v>
      </c>
      <c r="AF42" s="258">
        <v>0.18044619422572178</v>
      </c>
      <c r="AJ42" s="78">
        <v>125</v>
      </c>
      <c r="AK42" s="78">
        <v>195</v>
      </c>
      <c r="AL42" s="78">
        <v>183</v>
      </c>
      <c r="AM42" s="78">
        <v>100</v>
      </c>
      <c r="AN42" s="78">
        <v>150</v>
      </c>
      <c r="AO42" s="78">
        <v>143</v>
      </c>
      <c r="AP42" s="78">
        <v>150</v>
      </c>
      <c r="AQ42" s="78">
        <v>230</v>
      </c>
      <c r="AR42" s="78">
        <v>183</v>
      </c>
      <c r="AS42" s="78">
        <v>120</v>
      </c>
      <c r="AT42" s="78">
        <v>180</v>
      </c>
      <c r="AU42" s="78">
        <v>143</v>
      </c>
      <c r="AV42" s="78">
        <v>170</v>
      </c>
      <c r="AW42" s="78">
        <v>260</v>
      </c>
      <c r="AX42" s="78">
        <v>214</v>
      </c>
      <c r="AY42" s="78">
        <v>135</v>
      </c>
      <c r="AZ42" s="78">
        <v>205</v>
      </c>
      <c r="BA42" s="78">
        <v>167</v>
      </c>
    </row>
    <row r="43" spans="1:53" x14ac:dyDescent="0.25">
      <c r="A43" s="78">
        <v>35</v>
      </c>
      <c r="B43" s="78" t="s">
        <v>598</v>
      </c>
      <c r="C43" s="78" t="s">
        <v>638</v>
      </c>
      <c r="D43" s="56">
        <v>30.1</v>
      </c>
      <c r="E43" s="57">
        <f t="shared" si="13"/>
        <v>1.1850393700787403</v>
      </c>
      <c r="F43" s="57">
        <f t="shared" si="14"/>
        <v>711.57859001972224</v>
      </c>
      <c r="G43" s="273">
        <f t="shared" si="3"/>
        <v>1.1029490204286103</v>
      </c>
      <c r="H43" s="278">
        <f t="shared" si="4"/>
        <v>0.41277559055118113</v>
      </c>
      <c r="I43" s="258">
        <v>0.18044619422572178</v>
      </c>
      <c r="J43" s="278">
        <f t="shared" si="5"/>
        <v>0.68847200000000008</v>
      </c>
      <c r="K43" s="258">
        <v>0.18044619422572178</v>
      </c>
      <c r="L43" s="274">
        <f t="shared" si="6"/>
        <v>170</v>
      </c>
      <c r="M43" s="274">
        <f t="shared" si="7"/>
        <v>260</v>
      </c>
      <c r="N43" s="274">
        <f t="shared" si="8"/>
        <v>214</v>
      </c>
      <c r="O43" s="274">
        <f t="shared" si="9"/>
        <v>135</v>
      </c>
      <c r="P43" s="274">
        <f t="shared" si="10"/>
        <v>205</v>
      </c>
      <c r="Q43" s="274">
        <f t="shared" si="11"/>
        <v>167</v>
      </c>
      <c r="R43" s="78">
        <v>20</v>
      </c>
      <c r="T43" s="149">
        <f t="shared" si="1"/>
        <v>1404.3390369443896</v>
      </c>
      <c r="V43" s="83">
        <v>53.21</v>
      </c>
      <c r="W43" s="75">
        <f t="shared" si="2"/>
        <v>105.01282810341424</v>
      </c>
      <c r="X43" s="78">
        <v>35</v>
      </c>
      <c r="Y43" s="76"/>
      <c r="Z43" s="76">
        <v>33</v>
      </c>
      <c r="AA43" s="147">
        <f t="shared" si="12"/>
        <v>855.2985999398212</v>
      </c>
      <c r="AB43" s="78" t="s">
        <v>598</v>
      </c>
      <c r="AC43" s="258">
        <v>0.39370078740157477</v>
      </c>
      <c r="AD43" s="258">
        <v>0.18044619422572178</v>
      </c>
      <c r="AE43" s="258">
        <v>0.65600000000000003</v>
      </c>
      <c r="AF43" s="258">
        <v>0.18044619422572178</v>
      </c>
      <c r="AJ43" s="78">
        <v>125</v>
      </c>
      <c r="AK43" s="78">
        <v>195</v>
      </c>
      <c r="AL43" s="78">
        <v>183</v>
      </c>
      <c r="AM43" s="78">
        <v>100</v>
      </c>
      <c r="AN43" s="78">
        <v>150</v>
      </c>
      <c r="AO43" s="78">
        <v>143</v>
      </c>
      <c r="AP43" s="78">
        <v>150</v>
      </c>
      <c r="AQ43" s="78">
        <v>230</v>
      </c>
      <c r="AR43" s="78">
        <v>183</v>
      </c>
      <c r="AS43" s="78">
        <v>120</v>
      </c>
      <c r="AT43" s="78">
        <v>180</v>
      </c>
      <c r="AU43" s="78">
        <v>143</v>
      </c>
      <c r="AV43" s="78">
        <v>170</v>
      </c>
      <c r="AW43" s="78">
        <v>260</v>
      </c>
      <c r="AX43" s="78">
        <v>214</v>
      </c>
      <c r="AY43" s="78">
        <v>135</v>
      </c>
      <c r="AZ43" s="78">
        <v>205</v>
      </c>
      <c r="BA43" s="78">
        <v>167</v>
      </c>
    </row>
    <row r="44" spans="1:53" x14ac:dyDescent="0.25">
      <c r="A44" s="78">
        <v>36</v>
      </c>
      <c r="B44" s="78" t="s">
        <v>598</v>
      </c>
      <c r="C44" s="78" t="s">
        <v>645</v>
      </c>
      <c r="D44" s="56">
        <v>33.200000000000003</v>
      </c>
      <c r="E44" s="57">
        <f t="shared" si="13"/>
        <v>1.3070866141732285</v>
      </c>
      <c r="F44" s="57">
        <f t="shared" si="14"/>
        <v>865.69727162320362</v>
      </c>
      <c r="G44" s="273">
        <f t="shared" si="3"/>
        <v>1.341833454682875</v>
      </c>
      <c r="H44" s="278">
        <f t="shared" si="4"/>
        <v>0.41277559055118113</v>
      </c>
      <c r="I44" s="258">
        <v>0.18044619422572178</v>
      </c>
      <c r="J44" s="278">
        <f t="shared" si="5"/>
        <v>0.68847200000000008</v>
      </c>
      <c r="K44" s="258">
        <v>0.18044619422572178</v>
      </c>
      <c r="L44" s="274">
        <f t="shared" si="6"/>
        <v>170</v>
      </c>
      <c r="M44" s="274">
        <f t="shared" si="7"/>
        <v>260</v>
      </c>
      <c r="N44" s="274">
        <f t="shared" si="8"/>
        <v>214</v>
      </c>
      <c r="O44" s="274">
        <f t="shared" si="9"/>
        <v>135</v>
      </c>
      <c r="P44" s="274">
        <f t="shared" si="10"/>
        <v>205</v>
      </c>
      <c r="Q44" s="274">
        <f t="shared" si="11"/>
        <v>167</v>
      </c>
      <c r="R44" s="78">
        <v>20</v>
      </c>
      <c r="T44" s="149">
        <f t="shared" si="1"/>
        <v>1708.5006347408794</v>
      </c>
      <c r="V44" s="83">
        <v>53.21</v>
      </c>
      <c r="W44" s="75">
        <f t="shared" si="2"/>
        <v>105.01282810341424</v>
      </c>
      <c r="X44" s="78">
        <v>36</v>
      </c>
      <c r="Y44" s="76"/>
      <c r="Z44" s="76">
        <v>33</v>
      </c>
      <c r="AA44" s="147">
        <f t="shared" si="12"/>
        <v>855.2985999398212</v>
      </c>
      <c r="AB44" s="78" t="s">
        <v>598</v>
      </c>
      <c r="AC44" s="258">
        <v>0.39370078740157477</v>
      </c>
      <c r="AD44" s="258">
        <v>0.18044619422572178</v>
      </c>
      <c r="AE44" s="258">
        <v>0.65600000000000003</v>
      </c>
      <c r="AF44" s="258">
        <v>0.18044619422572178</v>
      </c>
      <c r="AJ44" s="78">
        <v>125</v>
      </c>
      <c r="AK44" s="78">
        <v>195</v>
      </c>
      <c r="AL44" s="78">
        <v>183</v>
      </c>
      <c r="AM44" s="78">
        <v>100</v>
      </c>
      <c r="AN44" s="78">
        <v>150</v>
      </c>
      <c r="AO44" s="78">
        <v>143</v>
      </c>
      <c r="AP44" s="78">
        <v>150</v>
      </c>
      <c r="AQ44" s="78">
        <v>230</v>
      </c>
      <c r="AR44" s="78">
        <v>183</v>
      </c>
      <c r="AS44" s="78">
        <v>120</v>
      </c>
      <c r="AT44" s="78">
        <v>180</v>
      </c>
      <c r="AU44" s="78">
        <v>143</v>
      </c>
      <c r="AV44" s="78">
        <v>170</v>
      </c>
      <c r="AW44" s="78">
        <v>260</v>
      </c>
      <c r="AX44" s="78">
        <v>214</v>
      </c>
      <c r="AY44" s="78">
        <v>135</v>
      </c>
      <c r="AZ44" s="78">
        <v>205</v>
      </c>
      <c r="BA44" s="78">
        <v>167</v>
      </c>
    </row>
    <row r="45" spans="1:53" x14ac:dyDescent="0.25">
      <c r="A45" s="78">
        <v>37</v>
      </c>
      <c r="B45" s="78" t="s">
        <v>814</v>
      </c>
      <c r="C45" s="78" t="s">
        <v>600</v>
      </c>
      <c r="D45" s="56">
        <v>30.4</v>
      </c>
      <c r="E45" s="57">
        <f t="shared" si="13"/>
        <v>1.1968503937007875</v>
      </c>
      <c r="F45" s="57">
        <f t="shared" si="14"/>
        <v>725.83356668538579</v>
      </c>
      <c r="G45" s="273">
        <f t="shared" si="3"/>
        <v>1.1250442784509049</v>
      </c>
      <c r="H45" s="278">
        <f t="shared" si="4"/>
        <v>0.34397965879265097</v>
      </c>
      <c r="I45" s="258">
        <v>0.17716535433070865</v>
      </c>
      <c r="J45" s="278">
        <f t="shared" si="5"/>
        <v>0.55098750000000007</v>
      </c>
      <c r="K45" s="258">
        <v>0.17716535433070865</v>
      </c>
      <c r="L45" s="274">
        <f t="shared" si="6"/>
        <v>195</v>
      </c>
      <c r="M45" s="274">
        <f t="shared" si="7"/>
        <v>300</v>
      </c>
      <c r="N45" s="274">
        <f t="shared" si="8"/>
        <v>247</v>
      </c>
      <c r="O45" s="274">
        <f t="shared" si="9"/>
        <v>150</v>
      </c>
      <c r="P45" s="274">
        <f t="shared" si="10"/>
        <v>235</v>
      </c>
      <c r="Q45" s="274">
        <f t="shared" si="11"/>
        <v>193</v>
      </c>
      <c r="R45" s="78">
        <v>24</v>
      </c>
      <c r="T45" s="149">
        <f t="shared" si="1"/>
        <v>1432.4720084574417</v>
      </c>
      <c r="V45" s="83">
        <v>66.87</v>
      </c>
      <c r="W45" s="75">
        <f t="shared" si="2"/>
        <v>131.97158081705152</v>
      </c>
      <c r="X45" s="78">
        <v>37</v>
      </c>
      <c r="Y45" s="76"/>
      <c r="Z45" s="76">
        <v>35.4</v>
      </c>
      <c r="AA45" s="144">
        <f t="shared" si="12"/>
        <v>984.22956244314616</v>
      </c>
      <c r="AB45" s="78" t="s">
        <v>814</v>
      </c>
      <c r="AC45" s="258">
        <v>0.32808398950131235</v>
      </c>
      <c r="AD45" s="258">
        <v>0.17716535433070865</v>
      </c>
      <c r="AE45" s="258">
        <v>0.52500000000000002</v>
      </c>
      <c r="AF45" s="258">
        <v>0.17716535433070865</v>
      </c>
      <c r="AJ45" s="78">
        <v>145</v>
      </c>
      <c r="AK45" s="78">
        <v>225</v>
      </c>
      <c r="AL45" s="78">
        <v>212</v>
      </c>
      <c r="AM45" s="78">
        <v>115</v>
      </c>
      <c r="AN45" s="78">
        <v>175</v>
      </c>
      <c r="AO45" s="78">
        <v>165</v>
      </c>
      <c r="AP45" s="78">
        <v>175</v>
      </c>
      <c r="AQ45" s="78">
        <v>265</v>
      </c>
      <c r="AR45" s="78">
        <v>212</v>
      </c>
      <c r="AS45" s="78">
        <v>135</v>
      </c>
      <c r="AT45" s="78">
        <v>210</v>
      </c>
      <c r="AU45" s="78">
        <v>165</v>
      </c>
      <c r="AV45" s="78">
        <v>195</v>
      </c>
      <c r="AW45" s="78">
        <v>300</v>
      </c>
      <c r="AX45" s="78">
        <v>247</v>
      </c>
      <c r="AY45" s="78">
        <v>150</v>
      </c>
      <c r="AZ45" s="78">
        <v>235</v>
      </c>
      <c r="BA45" s="78">
        <v>193</v>
      </c>
    </row>
    <row r="46" spans="1:53" x14ac:dyDescent="0.25">
      <c r="A46" s="78">
        <v>38</v>
      </c>
      <c r="B46" s="78" t="s">
        <v>814</v>
      </c>
      <c r="C46" s="78" t="s">
        <v>638</v>
      </c>
      <c r="D46" s="56">
        <v>32.5</v>
      </c>
      <c r="E46" s="57">
        <f t="shared" si="13"/>
        <v>1.2795275590551183</v>
      </c>
      <c r="F46" s="57">
        <f t="shared" si="14"/>
        <v>829.57681008855479</v>
      </c>
      <c r="G46" s="273">
        <f t="shared" si="3"/>
        <v>1.2858466273305147</v>
      </c>
      <c r="H46" s="278">
        <f t="shared" si="4"/>
        <v>0.34397965879265097</v>
      </c>
      <c r="I46" s="258">
        <v>0.17716535433070865</v>
      </c>
      <c r="J46" s="278">
        <f t="shared" si="5"/>
        <v>0.55098750000000007</v>
      </c>
      <c r="K46" s="258">
        <v>0.17716535433070865</v>
      </c>
      <c r="L46" s="274">
        <f t="shared" si="6"/>
        <v>195</v>
      </c>
      <c r="M46" s="274">
        <f t="shared" si="7"/>
        <v>300</v>
      </c>
      <c r="N46" s="274">
        <f t="shared" si="8"/>
        <v>247</v>
      </c>
      <c r="O46" s="274">
        <f t="shared" si="9"/>
        <v>150</v>
      </c>
      <c r="P46" s="274">
        <f t="shared" si="10"/>
        <v>235</v>
      </c>
      <c r="Q46" s="274">
        <f t="shared" si="11"/>
        <v>193</v>
      </c>
      <c r="R46" s="78">
        <v>24</v>
      </c>
      <c r="T46" s="149">
        <f t="shared" si="1"/>
        <v>1637.2149399813593</v>
      </c>
      <c r="V46" s="83">
        <v>66.87</v>
      </c>
      <c r="W46" s="75">
        <f t="shared" si="2"/>
        <v>131.97158081705152</v>
      </c>
      <c r="X46" s="78">
        <v>38</v>
      </c>
      <c r="Y46" s="76"/>
      <c r="Z46" s="76">
        <v>35.4</v>
      </c>
      <c r="AA46" s="144">
        <f t="shared" si="12"/>
        <v>984.22956244314616</v>
      </c>
      <c r="AB46" s="78" t="s">
        <v>814</v>
      </c>
      <c r="AC46" s="258">
        <v>0.32808398950131235</v>
      </c>
      <c r="AD46" s="258">
        <v>0.17716535433070865</v>
      </c>
      <c r="AE46" s="258">
        <v>0.52500000000000002</v>
      </c>
      <c r="AF46" s="258">
        <v>0.17716535433070865</v>
      </c>
      <c r="AJ46" s="78">
        <v>145</v>
      </c>
      <c r="AK46" s="78">
        <v>225</v>
      </c>
      <c r="AL46" s="78">
        <v>212</v>
      </c>
      <c r="AM46" s="78">
        <v>115</v>
      </c>
      <c r="AN46" s="78">
        <v>175</v>
      </c>
      <c r="AO46" s="78">
        <v>165</v>
      </c>
      <c r="AP46" s="78">
        <v>175</v>
      </c>
      <c r="AQ46" s="78">
        <v>265</v>
      </c>
      <c r="AR46" s="78">
        <v>212</v>
      </c>
      <c r="AS46" s="78">
        <v>135</v>
      </c>
      <c r="AT46" s="78">
        <v>210</v>
      </c>
      <c r="AU46" s="78">
        <v>165</v>
      </c>
      <c r="AV46" s="78">
        <v>195</v>
      </c>
      <c r="AW46" s="78">
        <v>300</v>
      </c>
      <c r="AX46" s="78">
        <v>247</v>
      </c>
      <c r="AY46" s="78">
        <v>150</v>
      </c>
      <c r="AZ46" s="78">
        <v>235</v>
      </c>
      <c r="BA46" s="78">
        <v>193</v>
      </c>
    </row>
    <row r="47" spans="1:53" x14ac:dyDescent="0.25">
      <c r="A47" s="78">
        <v>39</v>
      </c>
      <c r="B47" s="78" t="s">
        <v>814</v>
      </c>
      <c r="C47" s="78" t="s">
        <v>645</v>
      </c>
      <c r="D47" s="56">
        <v>36.9</v>
      </c>
      <c r="E47" s="57">
        <f t="shared" si="13"/>
        <v>1.4527559055118111</v>
      </c>
      <c r="F47" s="57">
        <f t="shared" si="14"/>
        <v>1069.4059932635994</v>
      </c>
      <c r="G47" s="273">
        <f t="shared" si="3"/>
        <v>1.6575826047237885</v>
      </c>
      <c r="H47" s="278">
        <f t="shared" si="4"/>
        <v>0.34397965879265097</v>
      </c>
      <c r="I47" s="258">
        <v>0.17716535433070865</v>
      </c>
      <c r="J47" s="278">
        <f t="shared" si="5"/>
        <v>0.55098750000000007</v>
      </c>
      <c r="K47" s="258">
        <v>0.17716535433070865</v>
      </c>
      <c r="L47" s="274">
        <f t="shared" si="6"/>
        <v>195</v>
      </c>
      <c r="M47" s="274">
        <f t="shared" si="7"/>
        <v>300</v>
      </c>
      <c r="N47" s="274">
        <f t="shared" si="8"/>
        <v>247</v>
      </c>
      <c r="O47" s="274">
        <f t="shared" si="9"/>
        <v>150</v>
      </c>
      <c r="P47" s="274">
        <f t="shared" si="10"/>
        <v>235</v>
      </c>
      <c r="Q47" s="274">
        <f t="shared" si="11"/>
        <v>193</v>
      </c>
      <c r="R47" s="78">
        <v>24</v>
      </c>
      <c r="T47" s="149">
        <f t="shared" si="1"/>
        <v>2110.5308728312598</v>
      </c>
      <c r="V47" s="83">
        <v>66.87</v>
      </c>
      <c r="W47" s="75">
        <f t="shared" si="2"/>
        <v>131.97158081705152</v>
      </c>
      <c r="X47" s="78">
        <v>39</v>
      </c>
      <c r="Y47" s="76"/>
      <c r="Z47" s="76">
        <v>35.4</v>
      </c>
      <c r="AA47" s="144">
        <f t="shared" si="12"/>
        <v>984.22956244314616</v>
      </c>
      <c r="AB47" s="78" t="s">
        <v>814</v>
      </c>
      <c r="AC47" s="258">
        <v>0.32808398950131235</v>
      </c>
      <c r="AD47" s="258">
        <v>0.17716535433070865</v>
      </c>
      <c r="AE47" s="258">
        <v>0.52500000000000002</v>
      </c>
      <c r="AF47" s="258">
        <v>0.17716535433070865</v>
      </c>
      <c r="AJ47" s="78">
        <v>145</v>
      </c>
      <c r="AK47" s="78">
        <v>225</v>
      </c>
      <c r="AL47" s="78">
        <v>212</v>
      </c>
      <c r="AM47" s="78">
        <v>115</v>
      </c>
      <c r="AN47" s="78">
        <v>175</v>
      </c>
      <c r="AO47" s="78">
        <v>165</v>
      </c>
      <c r="AP47" s="78">
        <v>175</v>
      </c>
      <c r="AQ47" s="78">
        <v>265</v>
      </c>
      <c r="AR47" s="78">
        <v>212</v>
      </c>
      <c r="AS47" s="78">
        <v>135</v>
      </c>
      <c r="AT47" s="78">
        <v>210</v>
      </c>
      <c r="AU47" s="78">
        <v>165</v>
      </c>
      <c r="AV47" s="78">
        <v>195</v>
      </c>
      <c r="AW47" s="78">
        <v>300</v>
      </c>
      <c r="AX47" s="78">
        <v>247</v>
      </c>
      <c r="AY47" s="78">
        <v>150</v>
      </c>
      <c r="AZ47" s="78">
        <v>235</v>
      </c>
      <c r="BA47" s="78">
        <v>193</v>
      </c>
    </row>
    <row r="48" spans="1:53" x14ac:dyDescent="0.25">
      <c r="A48" s="78">
        <v>40</v>
      </c>
      <c r="B48" s="78" t="s">
        <v>816</v>
      </c>
      <c r="C48" s="78" t="s">
        <v>600</v>
      </c>
      <c r="D48" s="56">
        <v>32.9</v>
      </c>
      <c r="E48" s="57">
        <f t="shared" si="13"/>
        <v>1.295275590551181</v>
      </c>
      <c r="F48" s="57">
        <f t="shared" si="14"/>
        <v>850.12282604303186</v>
      </c>
      <c r="G48" s="273">
        <f t="shared" si="3"/>
        <v>1.3176930157527309</v>
      </c>
      <c r="H48" s="278">
        <f t="shared" si="4"/>
        <v>0.27174393044619422</v>
      </c>
      <c r="I48" s="258">
        <v>0.1706036745406824</v>
      </c>
      <c r="J48" s="278">
        <f t="shared" si="5"/>
        <v>0.44813650000000005</v>
      </c>
      <c r="K48" s="258">
        <v>0.1706036745406824</v>
      </c>
      <c r="L48" s="274">
        <f t="shared" si="6"/>
        <v>225</v>
      </c>
      <c r="M48" s="274">
        <f t="shared" si="7"/>
        <v>350</v>
      </c>
      <c r="N48" s="274">
        <f t="shared" si="8"/>
        <v>287</v>
      </c>
      <c r="O48" s="274">
        <f t="shared" si="9"/>
        <v>175</v>
      </c>
      <c r="P48" s="274">
        <f t="shared" si="10"/>
        <v>275</v>
      </c>
      <c r="Q48" s="274">
        <f t="shared" si="11"/>
        <v>224</v>
      </c>
      <c r="R48" s="78">
        <v>30</v>
      </c>
      <c r="T48" s="149">
        <f t="shared" si="1"/>
        <v>1677.7636195836428</v>
      </c>
      <c r="V48" s="83">
        <v>85.59</v>
      </c>
      <c r="W48" s="75">
        <f t="shared" si="2"/>
        <v>168.91651865008879</v>
      </c>
      <c r="X48" s="78">
        <v>40</v>
      </c>
      <c r="Y48" s="76"/>
      <c r="Z48" s="76">
        <v>35.97</v>
      </c>
      <c r="AA48" s="147">
        <f t="shared" si="12"/>
        <v>1016.1802665885015</v>
      </c>
      <c r="AB48" s="78" t="s">
        <v>816</v>
      </c>
      <c r="AC48" s="258">
        <v>0.25918635170603671</v>
      </c>
      <c r="AD48" s="258">
        <v>0.1706036745406824</v>
      </c>
      <c r="AE48" s="258">
        <v>0.42699999999999999</v>
      </c>
      <c r="AF48" s="258">
        <v>0.1706036745406824</v>
      </c>
      <c r="AJ48" s="78">
        <v>165</v>
      </c>
      <c r="AK48" s="78">
        <v>260</v>
      </c>
      <c r="AL48" s="78">
        <v>245</v>
      </c>
      <c r="AM48" s="78">
        <v>130</v>
      </c>
      <c r="AN48" s="78">
        <v>200</v>
      </c>
      <c r="AO48" s="78">
        <v>192</v>
      </c>
      <c r="AP48" s="78">
        <v>200</v>
      </c>
      <c r="AQ48" s="78">
        <v>310</v>
      </c>
      <c r="AR48" s="78">
        <v>245</v>
      </c>
      <c r="AS48" s="78">
        <v>155</v>
      </c>
      <c r="AT48" s="78">
        <v>240</v>
      </c>
      <c r="AU48" s="78">
        <v>192</v>
      </c>
      <c r="AV48" s="78">
        <v>225</v>
      </c>
      <c r="AW48" s="78">
        <v>350</v>
      </c>
      <c r="AX48" s="78">
        <v>287</v>
      </c>
      <c r="AY48" s="78">
        <v>175</v>
      </c>
      <c r="AZ48" s="78">
        <v>275</v>
      </c>
      <c r="BA48" s="78">
        <v>224</v>
      </c>
    </row>
    <row r="49" spans="1:53" x14ac:dyDescent="0.25">
      <c r="A49" s="78">
        <v>41</v>
      </c>
      <c r="B49" s="78" t="s">
        <v>816</v>
      </c>
      <c r="C49" s="78" t="s">
        <v>638</v>
      </c>
      <c r="D49" s="56">
        <v>36.1</v>
      </c>
      <c r="E49" s="57">
        <f t="shared" si="13"/>
        <v>1.4212598425196852</v>
      </c>
      <c r="F49" s="57">
        <f t="shared" si="14"/>
        <v>1023.5387405211886</v>
      </c>
      <c r="G49" s="273">
        <f t="shared" si="3"/>
        <v>1.5864882207842841</v>
      </c>
      <c r="H49" s="278">
        <f t="shared" si="4"/>
        <v>0.27174393044619422</v>
      </c>
      <c r="I49" s="258">
        <v>0.1706036745406824</v>
      </c>
      <c r="J49" s="278">
        <f t="shared" si="5"/>
        <v>0.44813650000000005</v>
      </c>
      <c r="K49" s="258">
        <v>0.1706036745406824</v>
      </c>
      <c r="L49" s="274">
        <f t="shared" si="6"/>
        <v>225</v>
      </c>
      <c r="M49" s="274">
        <f t="shared" si="7"/>
        <v>350</v>
      </c>
      <c r="N49" s="274">
        <f t="shared" si="8"/>
        <v>287</v>
      </c>
      <c r="O49" s="274">
        <f t="shared" si="9"/>
        <v>175</v>
      </c>
      <c r="P49" s="274">
        <f t="shared" si="10"/>
        <v>275</v>
      </c>
      <c r="Q49" s="274">
        <f t="shared" si="11"/>
        <v>224</v>
      </c>
      <c r="R49" s="78">
        <v>30</v>
      </c>
      <c r="T49" s="149">
        <f t="shared" si="1"/>
        <v>2020.0093556763145</v>
      </c>
      <c r="V49" s="83">
        <v>85.59</v>
      </c>
      <c r="W49" s="75">
        <f t="shared" si="2"/>
        <v>168.91651865008879</v>
      </c>
      <c r="X49" s="78">
        <v>41</v>
      </c>
      <c r="Y49" s="76"/>
      <c r="Z49" s="76">
        <v>35.97</v>
      </c>
      <c r="AA49" s="147">
        <f t="shared" si="12"/>
        <v>1016.1802665885015</v>
      </c>
      <c r="AB49" s="78" t="s">
        <v>816</v>
      </c>
      <c r="AC49" s="258">
        <v>0.25918635170603671</v>
      </c>
      <c r="AD49" s="258">
        <v>0.1706036745406824</v>
      </c>
      <c r="AE49" s="258">
        <v>0.42699999999999999</v>
      </c>
      <c r="AF49" s="258">
        <v>0.1706036745406824</v>
      </c>
      <c r="AJ49" s="78">
        <v>165</v>
      </c>
      <c r="AK49" s="78">
        <v>260</v>
      </c>
      <c r="AL49" s="78">
        <v>245</v>
      </c>
      <c r="AM49" s="78">
        <v>130</v>
      </c>
      <c r="AN49" s="78">
        <v>200</v>
      </c>
      <c r="AO49" s="78">
        <v>192</v>
      </c>
      <c r="AP49" s="78">
        <v>200</v>
      </c>
      <c r="AQ49" s="78">
        <v>310</v>
      </c>
      <c r="AR49" s="78">
        <v>245</v>
      </c>
      <c r="AS49" s="78">
        <v>155</v>
      </c>
      <c r="AT49" s="78">
        <v>240</v>
      </c>
      <c r="AU49" s="78">
        <v>192</v>
      </c>
      <c r="AV49" s="78">
        <v>225</v>
      </c>
      <c r="AW49" s="78">
        <v>350</v>
      </c>
      <c r="AX49" s="78">
        <v>287</v>
      </c>
      <c r="AY49" s="78">
        <v>175</v>
      </c>
      <c r="AZ49" s="78">
        <v>275</v>
      </c>
      <c r="BA49" s="78">
        <v>224</v>
      </c>
    </row>
    <row r="50" spans="1:53" x14ac:dyDescent="0.25">
      <c r="A50" s="78">
        <v>42</v>
      </c>
      <c r="B50" s="78" t="s">
        <v>816</v>
      </c>
      <c r="C50" s="78" t="s">
        <v>645</v>
      </c>
      <c r="D50" s="56">
        <v>39.799999999999997</v>
      </c>
      <c r="E50" s="57">
        <f t="shared" si="13"/>
        <v>1.5669291338582676</v>
      </c>
      <c r="F50" s="57">
        <f t="shared" si="14"/>
        <v>1244.1021067480938</v>
      </c>
      <c r="G50" s="273">
        <f t="shared" si="3"/>
        <v>1.9283621221837899</v>
      </c>
      <c r="H50" s="278">
        <f t="shared" si="4"/>
        <v>0.27174393044619422</v>
      </c>
      <c r="I50" s="258">
        <v>0.1706036745406824</v>
      </c>
      <c r="J50" s="278">
        <f t="shared" si="5"/>
        <v>0.44813650000000005</v>
      </c>
      <c r="K50" s="258">
        <v>0.1706036745406824</v>
      </c>
      <c r="L50" s="274">
        <f t="shared" si="6"/>
        <v>225</v>
      </c>
      <c r="M50" s="274">
        <f t="shared" si="7"/>
        <v>350</v>
      </c>
      <c r="N50" s="274">
        <f t="shared" si="8"/>
        <v>287</v>
      </c>
      <c r="O50" s="274">
        <f t="shared" si="9"/>
        <v>175</v>
      </c>
      <c r="P50" s="274">
        <f t="shared" si="10"/>
        <v>275</v>
      </c>
      <c r="Q50" s="274">
        <f t="shared" si="11"/>
        <v>224</v>
      </c>
      <c r="R50" s="78">
        <v>30</v>
      </c>
      <c r="T50" s="149">
        <f t="shared" si="1"/>
        <v>2455.3031512691805</v>
      </c>
      <c r="V50" s="83">
        <v>85.59</v>
      </c>
      <c r="W50" s="75">
        <f t="shared" si="2"/>
        <v>168.91651865008879</v>
      </c>
      <c r="X50" s="78">
        <v>42</v>
      </c>
      <c r="Y50" s="76"/>
      <c r="Z50" s="76">
        <v>35.97</v>
      </c>
      <c r="AA50" s="147">
        <f t="shared" si="12"/>
        <v>1016.1802665885015</v>
      </c>
      <c r="AB50" s="78" t="s">
        <v>816</v>
      </c>
      <c r="AC50" s="258">
        <v>0.25918635170603671</v>
      </c>
      <c r="AD50" s="258">
        <v>0.1706036745406824</v>
      </c>
      <c r="AE50" s="258">
        <v>0.42699999999999999</v>
      </c>
      <c r="AF50" s="258">
        <v>0.1706036745406824</v>
      </c>
      <c r="AJ50" s="78">
        <v>165</v>
      </c>
      <c r="AK50" s="78">
        <v>260</v>
      </c>
      <c r="AL50" s="78">
        <v>245</v>
      </c>
      <c r="AM50" s="78">
        <v>130</v>
      </c>
      <c r="AN50" s="78">
        <v>200</v>
      </c>
      <c r="AO50" s="78">
        <v>192</v>
      </c>
      <c r="AP50" s="78">
        <v>200</v>
      </c>
      <c r="AQ50" s="78">
        <v>310</v>
      </c>
      <c r="AR50" s="78">
        <v>245</v>
      </c>
      <c r="AS50" s="78">
        <v>155</v>
      </c>
      <c r="AT50" s="78">
        <v>240</v>
      </c>
      <c r="AU50" s="78">
        <v>192</v>
      </c>
      <c r="AV50" s="78">
        <v>225</v>
      </c>
      <c r="AW50" s="78">
        <v>350</v>
      </c>
      <c r="AX50" s="78">
        <v>287</v>
      </c>
      <c r="AY50" s="78">
        <v>175</v>
      </c>
      <c r="AZ50" s="78">
        <v>275</v>
      </c>
      <c r="BA50" s="78">
        <v>224</v>
      </c>
    </row>
    <row r="51" spans="1:53" x14ac:dyDescent="0.25">
      <c r="A51" s="78">
        <v>43</v>
      </c>
      <c r="B51" s="78" t="s">
        <v>818</v>
      </c>
      <c r="C51" s="78" t="s">
        <v>600</v>
      </c>
      <c r="D51" s="56">
        <v>36.700000000000003</v>
      </c>
      <c r="E51" s="57">
        <f t="shared" si="13"/>
        <v>1.4448818897637796</v>
      </c>
      <c r="F51" s="57">
        <f t="shared" si="14"/>
        <v>1057.8449322983893</v>
      </c>
      <c r="G51" s="273">
        <f t="shared" si="3"/>
        <v>1.6396629243883523</v>
      </c>
      <c r="H51" s="278">
        <f t="shared" si="4"/>
        <v>0.21670718503937009</v>
      </c>
      <c r="I51" s="258">
        <v>0.16732283464566927</v>
      </c>
      <c r="J51" s="278">
        <f t="shared" si="5"/>
        <v>0.34423600000000004</v>
      </c>
      <c r="K51" s="258">
        <v>0.16732283464566927</v>
      </c>
      <c r="L51" s="274">
        <f t="shared" si="6"/>
        <v>260</v>
      </c>
      <c r="M51" s="274">
        <f t="shared" si="7"/>
        <v>405</v>
      </c>
      <c r="N51" s="274">
        <f t="shared" si="8"/>
        <v>335</v>
      </c>
      <c r="O51" s="274">
        <f t="shared" si="9"/>
        <v>205</v>
      </c>
      <c r="P51" s="274">
        <f t="shared" si="10"/>
        <v>315</v>
      </c>
      <c r="Q51" s="274">
        <f t="shared" si="11"/>
        <v>262</v>
      </c>
      <c r="R51" s="78">
        <v>38</v>
      </c>
      <c r="T51" s="149">
        <f t="shared" si="1"/>
        <v>2087.7144904250822</v>
      </c>
      <c r="V51" s="83">
        <v>107</v>
      </c>
      <c r="W51" s="75">
        <f t="shared" si="2"/>
        <v>211.17031774225379</v>
      </c>
      <c r="X51" s="78">
        <v>43</v>
      </c>
      <c r="Y51" s="76"/>
      <c r="Z51" s="76">
        <v>44.4</v>
      </c>
      <c r="AA51" s="144">
        <f t="shared" si="12"/>
        <v>1548.3025233951935</v>
      </c>
      <c r="AB51" s="78" t="s">
        <v>818</v>
      </c>
      <c r="AC51" s="258">
        <v>0.20669291338582677</v>
      </c>
      <c r="AD51" s="258">
        <v>0.16732283464566927</v>
      </c>
      <c r="AE51" s="258">
        <v>0.32800000000000001</v>
      </c>
      <c r="AF51" s="258">
        <v>0.16732283464566927</v>
      </c>
      <c r="AJ51" s="78">
        <v>195</v>
      </c>
      <c r="AK51" s="78">
        <v>300</v>
      </c>
      <c r="AL51" s="78">
        <v>287</v>
      </c>
      <c r="AM51" s="78">
        <v>150</v>
      </c>
      <c r="AN51" s="78">
        <v>235</v>
      </c>
      <c r="AO51" s="78">
        <v>224</v>
      </c>
      <c r="AP51" s="78">
        <v>230</v>
      </c>
      <c r="AQ51" s="78">
        <v>360</v>
      </c>
      <c r="AR51" s="78">
        <v>287</v>
      </c>
      <c r="AS51" s="78">
        <v>180</v>
      </c>
      <c r="AT51" s="78">
        <v>280</v>
      </c>
      <c r="AU51" s="78">
        <v>224</v>
      </c>
      <c r="AV51" s="78">
        <v>260</v>
      </c>
      <c r="AW51" s="78">
        <v>405</v>
      </c>
      <c r="AX51" s="78">
        <v>335</v>
      </c>
      <c r="AY51" s="78">
        <v>205</v>
      </c>
      <c r="AZ51" s="78">
        <v>315</v>
      </c>
      <c r="BA51" s="78">
        <v>262</v>
      </c>
    </row>
    <row r="52" spans="1:53" x14ac:dyDescent="0.25">
      <c r="A52" s="78">
        <v>44</v>
      </c>
      <c r="B52" s="78" t="s">
        <v>818</v>
      </c>
      <c r="C52" s="78" t="s">
        <v>638</v>
      </c>
      <c r="D52" s="56">
        <v>39.1</v>
      </c>
      <c r="E52" s="57">
        <f t="shared" si="13"/>
        <v>1.5393700787401576</v>
      </c>
      <c r="F52" s="57">
        <f t="shared" si="14"/>
        <v>1200.724566183653</v>
      </c>
      <c r="G52" s="273">
        <f t="shared" si="3"/>
        <v>1.8611267998382619</v>
      </c>
      <c r="H52" s="278">
        <f t="shared" si="4"/>
        <v>0.21670718503937009</v>
      </c>
      <c r="I52" s="258">
        <v>0.16732283464566927</v>
      </c>
      <c r="J52" s="278">
        <f t="shared" si="5"/>
        <v>0.34423600000000004</v>
      </c>
      <c r="K52" s="258">
        <v>0.16732283464566927</v>
      </c>
      <c r="L52" s="274">
        <f t="shared" si="6"/>
        <v>260</v>
      </c>
      <c r="M52" s="274">
        <f t="shared" si="7"/>
        <v>405</v>
      </c>
      <c r="N52" s="274">
        <f t="shared" si="8"/>
        <v>335</v>
      </c>
      <c r="O52" s="274">
        <f t="shared" si="9"/>
        <v>205</v>
      </c>
      <c r="P52" s="274">
        <f t="shared" si="10"/>
        <v>315</v>
      </c>
      <c r="Q52" s="274">
        <f t="shared" si="11"/>
        <v>262</v>
      </c>
      <c r="R52" s="78">
        <v>38</v>
      </c>
      <c r="T52" s="149">
        <f t="shared" si="1"/>
        <v>2369.6952164666527</v>
      </c>
      <c r="V52" s="83">
        <v>107</v>
      </c>
      <c r="W52" s="75">
        <f t="shared" si="2"/>
        <v>211.17031774225379</v>
      </c>
      <c r="X52" s="78">
        <v>44</v>
      </c>
      <c r="Y52" s="76"/>
      <c r="Z52" s="76">
        <v>44.4</v>
      </c>
      <c r="AA52" s="144">
        <f t="shared" si="12"/>
        <v>1548.3025233951935</v>
      </c>
      <c r="AB52" s="78" t="s">
        <v>818</v>
      </c>
      <c r="AC52" s="258">
        <v>0.20669291338582677</v>
      </c>
      <c r="AD52" s="258">
        <v>0.16732283464566927</v>
      </c>
      <c r="AE52" s="258">
        <v>0.32800000000000001</v>
      </c>
      <c r="AF52" s="258">
        <v>0.16732283464566927</v>
      </c>
      <c r="AJ52" s="78">
        <v>195</v>
      </c>
      <c r="AK52" s="78">
        <v>300</v>
      </c>
      <c r="AL52" s="78">
        <v>287</v>
      </c>
      <c r="AM52" s="78">
        <v>150</v>
      </c>
      <c r="AN52" s="78">
        <v>235</v>
      </c>
      <c r="AO52" s="78">
        <v>224</v>
      </c>
      <c r="AP52" s="78">
        <v>230</v>
      </c>
      <c r="AQ52" s="78">
        <v>360</v>
      </c>
      <c r="AR52" s="78">
        <v>287</v>
      </c>
      <c r="AS52" s="78">
        <v>180</v>
      </c>
      <c r="AT52" s="78">
        <v>280</v>
      </c>
      <c r="AU52" s="78">
        <v>224</v>
      </c>
      <c r="AV52" s="78">
        <v>260</v>
      </c>
      <c r="AW52" s="78">
        <v>405</v>
      </c>
      <c r="AX52" s="78">
        <v>335</v>
      </c>
      <c r="AY52" s="78">
        <v>205</v>
      </c>
      <c r="AZ52" s="78">
        <v>315</v>
      </c>
      <c r="BA52" s="78">
        <v>262</v>
      </c>
    </row>
    <row r="53" spans="1:53" x14ac:dyDescent="0.25">
      <c r="A53" s="78">
        <v>45</v>
      </c>
      <c r="B53" s="78" t="s">
        <v>818</v>
      </c>
      <c r="C53" s="78" t="s">
        <v>645</v>
      </c>
      <c r="D53" s="56">
        <v>44.7</v>
      </c>
      <c r="E53" s="57">
        <f t="shared" si="13"/>
        <v>1.7598425196850396</v>
      </c>
      <c r="F53" s="57">
        <f t="shared" si="14"/>
        <v>1569.2962163028076</v>
      </c>
      <c r="G53" s="273">
        <f t="shared" si="3"/>
        <v>2.432414000097352</v>
      </c>
      <c r="H53" s="278">
        <f t="shared" si="4"/>
        <v>0.21670718503937009</v>
      </c>
      <c r="I53" s="258">
        <v>0.16732283464566927</v>
      </c>
      <c r="J53" s="278">
        <f t="shared" si="5"/>
        <v>0.34423600000000004</v>
      </c>
      <c r="K53" s="258">
        <v>0.16732283464566927</v>
      </c>
      <c r="L53" s="274">
        <f t="shared" si="6"/>
        <v>260</v>
      </c>
      <c r="M53" s="274">
        <f t="shared" si="7"/>
        <v>405</v>
      </c>
      <c r="N53" s="274">
        <f t="shared" si="8"/>
        <v>335</v>
      </c>
      <c r="O53" s="274">
        <f t="shared" si="9"/>
        <v>205</v>
      </c>
      <c r="P53" s="274">
        <f t="shared" si="10"/>
        <v>315</v>
      </c>
      <c r="Q53" s="274">
        <f t="shared" si="11"/>
        <v>262</v>
      </c>
      <c r="R53" s="78">
        <v>38</v>
      </c>
      <c r="T53" s="149">
        <f t="shared" si="1"/>
        <v>3097.0914077418738</v>
      </c>
      <c r="V53" s="83">
        <v>107</v>
      </c>
      <c r="W53" s="75">
        <f t="shared" si="2"/>
        <v>211.17031774225379</v>
      </c>
      <c r="X53" s="78">
        <v>45</v>
      </c>
      <c r="Y53" s="76"/>
      <c r="Z53" s="76">
        <v>44.4</v>
      </c>
      <c r="AA53" s="144">
        <f t="shared" si="12"/>
        <v>1548.3025233951935</v>
      </c>
      <c r="AB53" s="78" t="s">
        <v>818</v>
      </c>
      <c r="AC53" s="258">
        <v>0.20669291338582677</v>
      </c>
      <c r="AD53" s="258">
        <v>0.16732283464566927</v>
      </c>
      <c r="AE53" s="258">
        <v>0.32800000000000001</v>
      </c>
      <c r="AF53" s="258">
        <v>0.16732283464566927</v>
      </c>
      <c r="AJ53" s="78">
        <v>195</v>
      </c>
      <c r="AK53" s="78">
        <v>300</v>
      </c>
      <c r="AL53" s="78">
        <v>287</v>
      </c>
      <c r="AM53" s="78">
        <v>150</v>
      </c>
      <c r="AN53" s="78">
        <v>235</v>
      </c>
      <c r="AO53" s="78">
        <v>224</v>
      </c>
      <c r="AP53" s="78">
        <v>230</v>
      </c>
      <c r="AQ53" s="78">
        <v>360</v>
      </c>
      <c r="AR53" s="78">
        <v>287</v>
      </c>
      <c r="AS53" s="78">
        <v>180</v>
      </c>
      <c r="AT53" s="78">
        <v>280</v>
      </c>
      <c r="AU53" s="78">
        <v>224</v>
      </c>
      <c r="AV53" s="78">
        <v>260</v>
      </c>
      <c r="AW53" s="78">
        <v>405</v>
      </c>
      <c r="AX53" s="78">
        <v>335</v>
      </c>
      <c r="AY53" s="78">
        <v>205</v>
      </c>
      <c r="AZ53" s="78">
        <v>315</v>
      </c>
      <c r="BA53" s="78">
        <v>262</v>
      </c>
    </row>
    <row r="54" spans="1:53" x14ac:dyDescent="0.25">
      <c r="A54" s="78">
        <v>46</v>
      </c>
      <c r="B54" s="78" t="s">
        <v>964</v>
      </c>
      <c r="C54" s="78" t="s">
        <v>600</v>
      </c>
      <c r="D54" s="56">
        <v>40.9</v>
      </c>
      <c r="E54" s="57">
        <f t="shared" si="13"/>
        <v>1.610236220472441</v>
      </c>
      <c r="F54" s="57">
        <f t="shared" si="14"/>
        <v>1313.8219017128854</v>
      </c>
      <c r="G54" s="273">
        <f t="shared" si="3"/>
        <v>2.0364280205110137</v>
      </c>
      <c r="H54" s="278">
        <f t="shared" si="4"/>
        <v>0.18574901574803152</v>
      </c>
      <c r="I54" s="258">
        <v>0.1706036745406824</v>
      </c>
      <c r="J54" s="278">
        <f t="shared" si="5"/>
        <v>0.29595899999999997</v>
      </c>
      <c r="K54" s="258">
        <v>0.1706036745406824</v>
      </c>
      <c r="L54" s="274">
        <f t="shared" si="6"/>
        <v>290</v>
      </c>
      <c r="M54" s="274">
        <f t="shared" si="7"/>
        <v>455</v>
      </c>
      <c r="N54" s="274">
        <f t="shared" si="8"/>
        <v>374</v>
      </c>
      <c r="O54" s="274">
        <f t="shared" si="9"/>
        <v>230</v>
      </c>
      <c r="P54" s="274">
        <f t="shared" si="10"/>
        <v>355</v>
      </c>
      <c r="Q54" s="274">
        <f t="shared" si="11"/>
        <v>292</v>
      </c>
      <c r="R54" s="78">
        <v>48</v>
      </c>
      <c r="T54" s="149">
        <f t="shared" si="1"/>
        <v>2592.8989573966555</v>
      </c>
      <c r="V54" s="84">
        <v>126.5</v>
      </c>
      <c r="W54" s="75">
        <f t="shared" si="2"/>
        <v>249.65462798500096</v>
      </c>
      <c r="X54" s="78">
        <v>46</v>
      </c>
      <c r="Y54" s="76"/>
      <c r="Z54" s="76">
        <v>48.2</v>
      </c>
      <c r="AA54" s="144">
        <f t="shared" si="12"/>
        <v>1824.668429131488</v>
      </c>
      <c r="AB54" s="78" t="s">
        <v>964</v>
      </c>
      <c r="AC54" s="258">
        <v>0.17716535433070865</v>
      </c>
      <c r="AD54" s="258">
        <v>0.1706036745406824</v>
      </c>
      <c r="AE54" s="258">
        <v>0.28199999999999997</v>
      </c>
      <c r="AF54" s="258">
        <v>0.1706036745406824</v>
      </c>
      <c r="AJ54" s="78">
        <v>215</v>
      </c>
      <c r="AK54" s="78">
        <v>340</v>
      </c>
      <c r="AL54" s="78">
        <v>320</v>
      </c>
      <c r="AM54" s="78">
        <v>170</v>
      </c>
      <c r="AN54" s="78">
        <v>265</v>
      </c>
      <c r="AO54" s="78">
        <v>251</v>
      </c>
      <c r="AP54" s="78">
        <v>255</v>
      </c>
      <c r="AQ54" s="78">
        <v>405</v>
      </c>
      <c r="AR54" s="78">
        <v>320</v>
      </c>
      <c r="AS54" s="78">
        <v>205</v>
      </c>
      <c r="AT54" s="78">
        <v>315</v>
      </c>
      <c r="AU54" s="78">
        <v>251</v>
      </c>
      <c r="AV54" s="78">
        <v>290</v>
      </c>
      <c r="AW54" s="78">
        <v>455</v>
      </c>
      <c r="AX54" s="78">
        <v>374</v>
      </c>
      <c r="AY54" s="78">
        <v>230</v>
      </c>
      <c r="AZ54" s="78">
        <v>355</v>
      </c>
      <c r="BA54" s="78">
        <v>292</v>
      </c>
    </row>
    <row r="55" spans="1:53" x14ac:dyDescent="0.25">
      <c r="A55" s="78">
        <v>47</v>
      </c>
      <c r="B55" s="78" t="s">
        <v>964</v>
      </c>
      <c r="C55" s="78" t="s">
        <v>638</v>
      </c>
      <c r="D55" s="56">
        <v>45.2</v>
      </c>
      <c r="E55" s="57">
        <f t="shared" si="13"/>
        <v>1.7795275590551183</v>
      </c>
      <c r="F55" s="57">
        <f t="shared" si="14"/>
        <v>1604.5998637475229</v>
      </c>
      <c r="G55" s="273">
        <f t="shared" si="3"/>
        <v>2.487134763078187</v>
      </c>
      <c r="H55" s="278">
        <f t="shared" si="4"/>
        <v>0.18574901574803152</v>
      </c>
      <c r="I55" s="258">
        <v>0.1706036745406824</v>
      </c>
      <c r="J55" s="278">
        <f t="shared" si="5"/>
        <v>0.29595899999999997</v>
      </c>
      <c r="K55" s="258">
        <v>0.1706036745406824</v>
      </c>
      <c r="L55" s="274">
        <f t="shared" si="6"/>
        <v>290</v>
      </c>
      <c r="M55" s="274">
        <f t="shared" si="7"/>
        <v>455</v>
      </c>
      <c r="N55" s="274">
        <f t="shared" si="8"/>
        <v>374</v>
      </c>
      <c r="O55" s="274">
        <f t="shared" si="9"/>
        <v>230</v>
      </c>
      <c r="P55" s="274">
        <f t="shared" si="10"/>
        <v>355</v>
      </c>
      <c r="Q55" s="274">
        <f t="shared" si="11"/>
        <v>292</v>
      </c>
      <c r="R55" s="78">
        <v>48</v>
      </c>
      <c r="T55" s="149">
        <f t="shared" si="1"/>
        <v>3166.7650754835659</v>
      </c>
      <c r="V55" s="84">
        <v>126.5</v>
      </c>
      <c r="W55" s="75">
        <f t="shared" si="2"/>
        <v>249.65462798500096</v>
      </c>
      <c r="X55" s="78">
        <v>47</v>
      </c>
      <c r="Y55" s="76"/>
      <c r="Z55" s="76">
        <v>48.2</v>
      </c>
      <c r="AA55" s="144">
        <f t="shared" si="12"/>
        <v>1824.668429131488</v>
      </c>
      <c r="AB55" s="78" t="s">
        <v>964</v>
      </c>
      <c r="AC55" s="258">
        <v>0.17716535433070865</v>
      </c>
      <c r="AD55" s="258">
        <v>0.1706036745406824</v>
      </c>
      <c r="AE55" s="258">
        <v>0.28199999999999997</v>
      </c>
      <c r="AF55" s="258">
        <v>0.1706036745406824</v>
      </c>
      <c r="AJ55" s="78">
        <v>215</v>
      </c>
      <c r="AK55" s="78">
        <v>340</v>
      </c>
      <c r="AL55" s="78">
        <v>320</v>
      </c>
      <c r="AM55" s="78">
        <v>170</v>
      </c>
      <c r="AN55" s="78">
        <v>265</v>
      </c>
      <c r="AO55" s="78">
        <v>251</v>
      </c>
      <c r="AP55" s="78">
        <v>255</v>
      </c>
      <c r="AQ55" s="78">
        <v>405</v>
      </c>
      <c r="AR55" s="78">
        <v>320</v>
      </c>
      <c r="AS55" s="78">
        <v>205</v>
      </c>
      <c r="AT55" s="78">
        <v>315</v>
      </c>
      <c r="AU55" s="78">
        <v>251</v>
      </c>
      <c r="AV55" s="78">
        <v>290</v>
      </c>
      <c r="AW55" s="78">
        <v>455</v>
      </c>
      <c r="AX55" s="78">
        <v>374</v>
      </c>
      <c r="AY55" s="78">
        <v>230</v>
      </c>
      <c r="AZ55" s="78">
        <v>355</v>
      </c>
      <c r="BA55" s="78">
        <v>292</v>
      </c>
    </row>
    <row r="56" spans="1:53" x14ac:dyDescent="0.25">
      <c r="A56" s="78">
        <v>48</v>
      </c>
      <c r="B56" s="78" t="s">
        <v>964</v>
      </c>
      <c r="C56" s="78" t="s">
        <v>645</v>
      </c>
      <c r="D56" s="56">
        <v>49.9</v>
      </c>
      <c r="E56" s="57">
        <f t="shared" si="13"/>
        <v>1.9645669291338583</v>
      </c>
      <c r="F56" s="57">
        <f t="shared" si="14"/>
        <v>1955.64928084128</v>
      </c>
      <c r="G56" s="273">
        <f t="shared" si="3"/>
        <v>3.0312624478288797</v>
      </c>
      <c r="H56" s="278">
        <f t="shared" si="4"/>
        <v>0.18574901574803152</v>
      </c>
      <c r="I56" s="258">
        <v>0.1706036745406824</v>
      </c>
      <c r="J56" s="278">
        <f t="shared" si="5"/>
        <v>0.29595899999999997</v>
      </c>
      <c r="K56" s="258">
        <v>0.1706036745406824</v>
      </c>
      <c r="L56" s="274">
        <f t="shared" si="6"/>
        <v>290</v>
      </c>
      <c r="M56" s="274">
        <f t="shared" si="7"/>
        <v>455</v>
      </c>
      <c r="N56" s="274">
        <f t="shared" si="8"/>
        <v>374</v>
      </c>
      <c r="O56" s="274">
        <f t="shared" si="9"/>
        <v>230</v>
      </c>
      <c r="P56" s="274">
        <f t="shared" si="10"/>
        <v>355</v>
      </c>
      <c r="Q56" s="274">
        <f t="shared" si="11"/>
        <v>292</v>
      </c>
      <c r="R56" s="78">
        <v>48</v>
      </c>
      <c r="T56" s="149">
        <f t="shared" si="1"/>
        <v>3859.5801871744225</v>
      </c>
      <c r="V56" s="84">
        <v>126.5</v>
      </c>
      <c r="W56" s="75">
        <f t="shared" si="2"/>
        <v>249.65462798500096</v>
      </c>
      <c r="X56" s="78">
        <v>48</v>
      </c>
      <c r="Y56" s="76"/>
      <c r="Z56" s="76">
        <v>48.2</v>
      </c>
      <c r="AA56" s="144">
        <f t="shared" si="12"/>
        <v>1824.668429131488</v>
      </c>
      <c r="AB56" s="78" t="s">
        <v>964</v>
      </c>
      <c r="AC56" s="258">
        <v>0.17716535433070865</v>
      </c>
      <c r="AD56" s="258">
        <v>0.1706036745406824</v>
      </c>
      <c r="AE56" s="258">
        <v>0.28199999999999997</v>
      </c>
      <c r="AF56" s="258">
        <v>0.1706036745406824</v>
      </c>
      <c r="AJ56" s="78">
        <v>215</v>
      </c>
      <c r="AK56" s="78">
        <v>340</v>
      </c>
      <c r="AL56" s="78">
        <v>320</v>
      </c>
      <c r="AM56" s="78">
        <v>170</v>
      </c>
      <c r="AN56" s="78">
        <v>265</v>
      </c>
      <c r="AO56" s="78">
        <v>251</v>
      </c>
      <c r="AP56" s="78">
        <v>255</v>
      </c>
      <c r="AQ56" s="78">
        <v>405</v>
      </c>
      <c r="AR56" s="78">
        <v>320</v>
      </c>
      <c r="AS56" s="78">
        <v>205</v>
      </c>
      <c r="AT56" s="78">
        <v>315</v>
      </c>
      <c r="AU56" s="78">
        <v>251</v>
      </c>
      <c r="AV56" s="78">
        <v>290</v>
      </c>
      <c r="AW56" s="78">
        <v>455</v>
      </c>
      <c r="AX56" s="78">
        <v>374</v>
      </c>
      <c r="AY56" s="78">
        <v>230</v>
      </c>
      <c r="AZ56" s="78">
        <v>355</v>
      </c>
      <c r="BA56" s="78">
        <v>292</v>
      </c>
    </row>
    <row r="57" spans="1:53" x14ac:dyDescent="0.25">
      <c r="A57" s="78">
        <v>49</v>
      </c>
      <c r="B57" s="78" t="s">
        <v>965</v>
      </c>
      <c r="C57" s="78" t="s">
        <v>600</v>
      </c>
      <c r="D57" s="56">
        <v>47.7</v>
      </c>
      <c r="E57" s="57">
        <f t="shared" si="13"/>
        <v>1.877952755905512</v>
      </c>
      <c r="F57" s="57">
        <f t="shared" si="14"/>
        <v>1787.0085871965805</v>
      </c>
      <c r="G57" s="273">
        <f t="shared" si="3"/>
        <v>2.7698688498923998</v>
      </c>
      <c r="H57" s="278">
        <f t="shared" si="4"/>
        <v>0.13415206692913387</v>
      </c>
      <c r="I57" s="258">
        <v>0.16404199475065617</v>
      </c>
      <c r="J57" s="278">
        <f t="shared" si="5"/>
        <v>0.216197</v>
      </c>
      <c r="K57" s="258">
        <v>0.16404199475065617</v>
      </c>
      <c r="L57" s="274">
        <f t="shared" si="6"/>
        <v>350</v>
      </c>
      <c r="M57" s="274">
        <f t="shared" si="7"/>
        <v>570</v>
      </c>
      <c r="N57" s="274">
        <f t="shared" si="8"/>
        <v>464</v>
      </c>
      <c r="O57" s="274">
        <f t="shared" si="9"/>
        <v>280</v>
      </c>
      <c r="P57" s="274">
        <f t="shared" si="10"/>
        <v>445</v>
      </c>
      <c r="Q57" s="274">
        <f t="shared" si="11"/>
        <v>364</v>
      </c>
      <c r="R57" s="78">
        <v>65</v>
      </c>
      <c r="T57" s="149">
        <f t="shared" si="1"/>
        <v>3526.7586090321302</v>
      </c>
      <c r="V57" s="83">
        <v>177.1</v>
      </c>
      <c r="W57" s="75">
        <f t="shared" si="2"/>
        <v>349.51647917900135</v>
      </c>
      <c r="X57" s="78">
        <v>49</v>
      </c>
      <c r="Y57" s="76"/>
      <c r="Z57" s="76">
        <v>54.3</v>
      </c>
      <c r="AA57" s="147">
        <f t="shared" si="12"/>
        <v>2315.7386307957422</v>
      </c>
      <c r="AB57" s="78" t="s">
        <v>965</v>
      </c>
      <c r="AC57" s="258">
        <v>0.12795275590551181</v>
      </c>
      <c r="AD57" s="258">
        <v>0.16404199475065617</v>
      </c>
      <c r="AE57" s="258">
        <v>0.20599999999999999</v>
      </c>
      <c r="AF57" s="258">
        <v>0.16404199475065617</v>
      </c>
      <c r="AJ57" s="78">
        <v>260</v>
      </c>
      <c r="AK57" s="78">
        <v>420</v>
      </c>
      <c r="AL57" s="78">
        <v>397</v>
      </c>
      <c r="AM57" s="78">
        <v>210</v>
      </c>
      <c r="AN57" s="78">
        <v>330</v>
      </c>
      <c r="AO57" s="78">
        <v>312</v>
      </c>
      <c r="AP57" s="78">
        <v>310</v>
      </c>
      <c r="AQ57" s="78">
        <v>505</v>
      </c>
      <c r="AR57" s="78">
        <v>397</v>
      </c>
      <c r="AS57" s="78">
        <v>250</v>
      </c>
      <c r="AT57" s="78">
        <v>395</v>
      </c>
      <c r="AU57" s="78">
        <v>312</v>
      </c>
      <c r="AV57" s="78">
        <v>350</v>
      </c>
      <c r="AW57" s="78">
        <v>570</v>
      </c>
      <c r="AX57" s="78">
        <v>464</v>
      </c>
      <c r="AY57" s="78">
        <v>280</v>
      </c>
      <c r="AZ57" s="78">
        <v>445</v>
      </c>
      <c r="BA57" s="78">
        <v>364</v>
      </c>
    </row>
    <row r="58" spans="1:53" x14ac:dyDescent="0.25">
      <c r="A58" s="78">
        <v>50</v>
      </c>
      <c r="B58" s="78" t="s">
        <v>965</v>
      </c>
      <c r="C58" s="78" t="s">
        <v>638</v>
      </c>
      <c r="D58" s="56">
        <v>50.8</v>
      </c>
      <c r="E58" s="57">
        <f t="shared" si="13"/>
        <v>2</v>
      </c>
      <c r="F58" s="57">
        <f t="shared" si="14"/>
        <v>2026.8299163899908</v>
      </c>
      <c r="G58" s="273">
        <f t="shared" si="3"/>
        <v>3.1415926535897931</v>
      </c>
      <c r="H58" s="278">
        <f t="shared" si="4"/>
        <v>0.13415206692913387</v>
      </c>
      <c r="I58" s="258">
        <v>0.16404199475065617</v>
      </c>
      <c r="J58" s="278">
        <f t="shared" si="5"/>
        <v>0.216197</v>
      </c>
      <c r="K58" s="258">
        <v>0.16404199475065617</v>
      </c>
      <c r="L58" s="274">
        <f t="shared" si="6"/>
        <v>350</v>
      </c>
      <c r="M58" s="274">
        <f t="shared" si="7"/>
        <v>570</v>
      </c>
      <c r="N58" s="274">
        <f t="shared" si="8"/>
        <v>464</v>
      </c>
      <c r="O58" s="274">
        <f t="shared" si="9"/>
        <v>280</v>
      </c>
      <c r="P58" s="274">
        <f t="shared" si="10"/>
        <v>445</v>
      </c>
      <c r="Q58" s="274">
        <f t="shared" si="11"/>
        <v>364</v>
      </c>
      <c r="R58" s="78">
        <v>65</v>
      </c>
      <c r="T58" s="149">
        <f t="shared" si="1"/>
        <v>4000.0590416222431</v>
      </c>
      <c r="V58" s="83">
        <v>177.1</v>
      </c>
      <c r="W58" s="75">
        <f t="shared" si="2"/>
        <v>349.51647917900135</v>
      </c>
      <c r="X58" s="78">
        <v>50</v>
      </c>
      <c r="Y58" s="76"/>
      <c r="Z58" s="76">
        <v>54.3</v>
      </c>
      <c r="AA58" s="147">
        <f t="shared" si="12"/>
        <v>2315.7386307957422</v>
      </c>
      <c r="AB58" s="78" t="s">
        <v>965</v>
      </c>
      <c r="AC58" s="258">
        <v>0.12795275590551181</v>
      </c>
      <c r="AD58" s="258">
        <v>0.16404199475065617</v>
      </c>
      <c r="AE58" s="258">
        <v>0.20599999999999999</v>
      </c>
      <c r="AF58" s="258">
        <v>0.16404199475065617</v>
      </c>
      <c r="AJ58" s="78">
        <v>260</v>
      </c>
      <c r="AK58" s="78">
        <v>420</v>
      </c>
      <c r="AL58" s="78">
        <v>397</v>
      </c>
      <c r="AM58" s="78">
        <v>210</v>
      </c>
      <c r="AN58" s="78">
        <v>330</v>
      </c>
      <c r="AO58" s="78">
        <v>312</v>
      </c>
      <c r="AP58" s="78">
        <v>310</v>
      </c>
      <c r="AQ58" s="78">
        <v>505</v>
      </c>
      <c r="AR58" s="78">
        <v>397</v>
      </c>
      <c r="AS58" s="78">
        <v>250</v>
      </c>
      <c r="AT58" s="78">
        <v>395</v>
      </c>
      <c r="AU58" s="78">
        <v>312</v>
      </c>
      <c r="AV58" s="78">
        <v>350</v>
      </c>
      <c r="AW58" s="78">
        <v>570</v>
      </c>
      <c r="AX58" s="78">
        <v>464</v>
      </c>
      <c r="AY58" s="78">
        <v>280</v>
      </c>
      <c r="AZ58" s="78">
        <v>445</v>
      </c>
      <c r="BA58" s="78">
        <v>364</v>
      </c>
    </row>
    <row r="59" spans="1:53" x14ac:dyDescent="0.25">
      <c r="A59" s="78">
        <v>51</v>
      </c>
      <c r="B59" s="78" t="s">
        <v>965</v>
      </c>
      <c r="C59" s="78" t="s">
        <v>645</v>
      </c>
      <c r="D59" s="56">
        <v>56.1</v>
      </c>
      <c r="E59" s="57">
        <f t="shared" si="13"/>
        <v>2.2086614173228347</v>
      </c>
      <c r="F59" s="57">
        <f t="shared" si="14"/>
        <v>2471.8129538260832</v>
      </c>
      <c r="G59" s="273">
        <f t="shared" si="3"/>
        <v>3.8313177410659112</v>
      </c>
      <c r="H59" s="278">
        <f t="shared" si="4"/>
        <v>0.13415206692913387</v>
      </c>
      <c r="I59" s="258">
        <v>0.16404199475065617</v>
      </c>
      <c r="J59" s="278">
        <f t="shared" si="5"/>
        <v>0.216197</v>
      </c>
      <c r="K59" s="258">
        <v>0.16404199475065617</v>
      </c>
      <c r="L59" s="274">
        <f t="shared" si="6"/>
        <v>350</v>
      </c>
      <c r="M59" s="274">
        <f t="shared" si="7"/>
        <v>570</v>
      </c>
      <c r="N59" s="274">
        <f t="shared" si="8"/>
        <v>464</v>
      </c>
      <c r="O59" s="274">
        <f t="shared" si="9"/>
        <v>280</v>
      </c>
      <c r="P59" s="274">
        <f t="shared" si="10"/>
        <v>445</v>
      </c>
      <c r="Q59" s="274">
        <f t="shared" si="11"/>
        <v>364</v>
      </c>
      <c r="R59" s="78">
        <v>65</v>
      </c>
      <c r="T59" s="149">
        <f t="shared" si="1"/>
        <v>4878.257260363298</v>
      </c>
      <c r="V59" s="83">
        <v>177.1</v>
      </c>
      <c r="W59" s="75">
        <f t="shared" si="2"/>
        <v>349.51647917900135</v>
      </c>
      <c r="X59" s="78">
        <v>51</v>
      </c>
      <c r="Y59" s="76"/>
      <c r="Z59" s="76">
        <v>54.3</v>
      </c>
      <c r="AA59" s="147">
        <f t="shared" si="12"/>
        <v>2315.7386307957422</v>
      </c>
      <c r="AB59" s="78" t="s">
        <v>965</v>
      </c>
      <c r="AC59" s="258">
        <v>0.12795275590551181</v>
      </c>
      <c r="AD59" s="258">
        <v>0.16404199475065617</v>
      </c>
      <c r="AE59" s="258">
        <v>0.20599999999999999</v>
      </c>
      <c r="AF59" s="258">
        <v>0.16404199475065617</v>
      </c>
      <c r="AJ59" s="78">
        <v>260</v>
      </c>
      <c r="AK59" s="78">
        <v>420</v>
      </c>
      <c r="AL59" s="78">
        <v>397</v>
      </c>
      <c r="AM59" s="78">
        <v>210</v>
      </c>
      <c r="AN59" s="78">
        <v>330</v>
      </c>
      <c r="AO59" s="78">
        <v>312</v>
      </c>
      <c r="AP59" s="78">
        <v>310</v>
      </c>
      <c r="AQ59" s="78">
        <v>505</v>
      </c>
      <c r="AR59" s="78">
        <v>397</v>
      </c>
      <c r="AS59" s="78">
        <v>250</v>
      </c>
      <c r="AT59" s="78">
        <v>395</v>
      </c>
      <c r="AU59" s="78">
        <v>312</v>
      </c>
      <c r="AV59" s="78">
        <v>350</v>
      </c>
      <c r="AW59" s="78">
        <v>570</v>
      </c>
      <c r="AX59" s="78">
        <v>464</v>
      </c>
      <c r="AY59" s="78">
        <v>280</v>
      </c>
      <c r="AZ59" s="78">
        <v>445</v>
      </c>
      <c r="BA59" s="78">
        <v>364</v>
      </c>
    </row>
    <row r="60" spans="1:53" x14ac:dyDescent="0.25">
      <c r="A60" s="78">
        <v>52</v>
      </c>
      <c r="B60" s="78" t="s">
        <v>966</v>
      </c>
      <c r="C60" s="78" t="s">
        <v>600</v>
      </c>
      <c r="D60" s="56">
        <v>54.2</v>
      </c>
      <c r="E60" s="57">
        <f t="shared" si="13"/>
        <v>2.1338582677165356</v>
      </c>
      <c r="F60" s="57">
        <f t="shared" si="14"/>
        <v>2307.2170607228804</v>
      </c>
      <c r="G60" s="273">
        <f t="shared" si="3"/>
        <v>3.5761935965076579</v>
      </c>
      <c r="H60" s="278">
        <f t="shared" si="4"/>
        <v>9.9754101049868774E-2</v>
      </c>
      <c r="I60" s="258">
        <v>0.15748031496062992</v>
      </c>
      <c r="J60" s="278">
        <f t="shared" si="5"/>
        <v>0.15532600000000002</v>
      </c>
      <c r="K60" s="258">
        <v>0.15748031496062992</v>
      </c>
      <c r="L60" s="274">
        <f t="shared" si="6"/>
        <v>430</v>
      </c>
      <c r="M60" s="274">
        <f t="shared" si="7"/>
        <v>700</v>
      </c>
      <c r="N60" s="274">
        <f t="shared" si="8"/>
        <v>580</v>
      </c>
      <c r="O60" s="274">
        <f t="shared" si="9"/>
        <v>350</v>
      </c>
      <c r="P60" s="274">
        <f t="shared" si="10"/>
        <v>545</v>
      </c>
      <c r="Q60" s="274">
        <f t="shared" si="11"/>
        <v>458</v>
      </c>
      <c r="R60" s="78">
        <v>90</v>
      </c>
      <c r="T60" s="149">
        <f t="shared" si="1"/>
        <v>4553.4183160112107</v>
      </c>
      <c r="V60" s="85">
        <v>253.1</v>
      </c>
      <c r="W60" s="75">
        <f t="shared" si="2"/>
        <v>499.50661140714419</v>
      </c>
      <c r="X60" s="78">
        <v>52</v>
      </c>
      <c r="Y60" s="76"/>
      <c r="Z60" s="76">
        <v>67.900000000000006</v>
      </c>
      <c r="AA60" s="144">
        <f t="shared" si="12"/>
        <v>3621.00754650923</v>
      </c>
      <c r="AB60" s="78" t="s">
        <v>966</v>
      </c>
      <c r="AC60" s="258">
        <v>9.514435695538058E-2</v>
      </c>
      <c r="AD60" s="258">
        <v>0.15748031496062992</v>
      </c>
      <c r="AE60" s="258">
        <v>0.14799999999999999</v>
      </c>
      <c r="AF60" s="258">
        <v>0.15748031496062992</v>
      </c>
      <c r="AJ60" s="78">
        <v>320</v>
      </c>
      <c r="AK60" s="78">
        <v>545</v>
      </c>
      <c r="AL60" s="78">
        <v>496</v>
      </c>
      <c r="AM60" s="78">
        <v>260</v>
      </c>
      <c r="AN60" s="78">
        <v>405</v>
      </c>
      <c r="AO60" s="78">
        <v>392</v>
      </c>
      <c r="AP60" s="78">
        <v>380</v>
      </c>
      <c r="AQ60" s="78">
        <v>620</v>
      </c>
      <c r="AR60" s="78">
        <v>496</v>
      </c>
      <c r="AS60" s="78">
        <v>310</v>
      </c>
      <c r="AT60" s="78">
        <v>485</v>
      </c>
      <c r="AU60" s="78">
        <v>392</v>
      </c>
      <c r="AV60" s="78">
        <v>430</v>
      </c>
      <c r="AW60" s="78">
        <v>700</v>
      </c>
      <c r="AX60" s="78">
        <v>580</v>
      </c>
      <c r="AY60" s="78">
        <v>350</v>
      </c>
      <c r="AZ60" s="78">
        <v>545</v>
      </c>
      <c r="BA60" s="78">
        <v>458</v>
      </c>
    </row>
    <row r="61" spans="1:53" x14ac:dyDescent="0.25">
      <c r="A61" s="78">
        <v>53</v>
      </c>
      <c r="B61" s="78" t="s">
        <v>966</v>
      </c>
      <c r="C61" s="78" t="s">
        <v>638</v>
      </c>
      <c r="D61" s="56">
        <v>57.9</v>
      </c>
      <c r="E61" s="57">
        <f t="shared" si="13"/>
        <v>2.2795275590551181</v>
      </c>
      <c r="F61" s="57">
        <f t="shared" si="14"/>
        <v>2632.9766569552394</v>
      </c>
      <c r="G61" s="273">
        <f t="shared" si="3"/>
        <v>4.081121980524582</v>
      </c>
      <c r="H61" s="278">
        <f t="shared" si="4"/>
        <v>9.9754101049868774E-2</v>
      </c>
      <c r="I61" s="258">
        <v>0.15748031496062992</v>
      </c>
      <c r="J61" s="278">
        <f t="shared" si="5"/>
        <v>0.15532600000000002</v>
      </c>
      <c r="K61" s="258">
        <v>0.15748031496062992</v>
      </c>
      <c r="L61" s="274">
        <f t="shared" si="6"/>
        <v>430</v>
      </c>
      <c r="M61" s="274">
        <f t="shared" si="7"/>
        <v>700</v>
      </c>
      <c r="N61" s="274">
        <f t="shared" si="8"/>
        <v>580</v>
      </c>
      <c r="O61" s="274">
        <f t="shared" si="9"/>
        <v>350</v>
      </c>
      <c r="P61" s="274">
        <f t="shared" si="10"/>
        <v>545</v>
      </c>
      <c r="Q61" s="274">
        <f t="shared" si="11"/>
        <v>458</v>
      </c>
      <c r="R61" s="78">
        <v>90</v>
      </c>
      <c r="T61" s="149">
        <f t="shared" si="1"/>
        <v>5196.322591188552</v>
      </c>
      <c r="V61" s="85">
        <v>253.1</v>
      </c>
      <c r="W61" s="75">
        <f t="shared" si="2"/>
        <v>499.50661140714419</v>
      </c>
      <c r="X61" s="78">
        <v>53</v>
      </c>
      <c r="Y61" s="76"/>
      <c r="Z61" s="76">
        <v>67.900000000000006</v>
      </c>
      <c r="AA61" s="144">
        <f t="shared" si="12"/>
        <v>3621.00754650923</v>
      </c>
      <c r="AB61" s="78" t="s">
        <v>966</v>
      </c>
      <c r="AC61" s="258">
        <v>9.514435695538058E-2</v>
      </c>
      <c r="AD61" s="258">
        <v>0.15748031496062992</v>
      </c>
      <c r="AE61" s="258">
        <v>0.14799999999999999</v>
      </c>
      <c r="AF61" s="258">
        <v>0.15748031496062992</v>
      </c>
      <c r="AJ61" s="78">
        <v>320</v>
      </c>
      <c r="AK61" s="78">
        <v>545</v>
      </c>
      <c r="AL61" s="78">
        <v>496</v>
      </c>
      <c r="AM61" s="78">
        <v>260</v>
      </c>
      <c r="AN61" s="78">
        <v>405</v>
      </c>
      <c r="AO61" s="78">
        <v>392</v>
      </c>
      <c r="AP61" s="78">
        <v>380</v>
      </c>
      <c r="AQ61" s="78">
        <v>620</v>
      </c>
      <c r="AR61" s="78">
        <v>496</v>
      </c>
      <c r="AS61" s="78">
        <v>310</v>
      </c>
      <c r="AT61" s="78">
        <v>485</v>
      </c>
      <c r="AU61" s="78">
        <v>392</v>
      </c>
      <c r="AV61" s="78">
        <v>430</v>
      </c>
      <c r="AW61" s="78">
        <v>700</v>
      </c>
      <c r="AX61" s="78">
        <v>580</v>
      </c>
      <c r="AY61" s="78">
        <v>350</v>
      </c>
      <c r="AZ61" s="78">
        <v>545</v>
      </c>
      <c r="BA61" s="78">
        <v>458</v>
      </c>
    </row>
    <row r="62" spans="1:53" x14ac:dyDescent="0.25">
      <c r="A62" s="78">
        <v>54</v>
      </c>
      <c r="B62" s="78" t="s">
        <v>966</v>
      </c>
      <c r="C62" s="78" t="s">
        <v>645</v>
      </c>
      <c r="D62" s="56">
        <v>64</v>
      </c>
      <c r="E62" s="57">
        <f t="shared" si="13"/>
        <v>2.5196850393700787</v>
      </c>
      <c r="F62" s="57">
        <f t="shared" si="14"/>
        <v>3216.9908772759482</v>
      </c>
      <c r="G62" s="273">
        <f t="shared" si="3"/>
        <v>4.986345832469385</v>
      </c>
      <c r="H62" s="278">
        <f t="shared" si="4"/>
        <v>9.9754101049868774E-2</v>
      </c>
      <c r="I62" s="258">
        <v>0.15748031496062992</v>
      </c>
      <c r="J62" s="278">
        <f t="shared" si="5"/>
        <v>0.15532600000000002</v>
      </c>
      <c r="K62" s="258">
        <v>0.15748031496062992</v>
      </c>
      <c r="L62" s="274">
        <f t="shared" si="6"/>
        <v>430</v>
      </c>
      <c r="M62" s="274">
        <f t="shared" si="7"/>
        <v>700</v>
      </c>
      <c r="N62" s="274">
        <f t="shared" si="8"/>
        <v>580</v>
      </c>
      <c r="O62" s="274">
        <f t="shared" si="9"/>
        <v>350</v>
      </c>
      <c r="P62" s="274">
        <f t="shared" si="10"/>
        <v>545</v>
      </c>
      <c r="Q62" s="274">
        <f t="shared" si="11"/>
        <v>458</v>
      </c>
      <c r="R62" s="78">
        <v>90</v>
      </c>
      <c r="T62" s="149">
        <f t="shared" si="1"/>
        <v>6348.9064086756425</v>
      </c>
      <c r="V62" s="85">
        <v>253.1</v>
      </c>
      <c r="W62" s="75">
        <f t="shared" si="2"/>
        <v>499.50661140714419</v>
      </c>
      <c r="X62" s="78">
        <v>54</v>
      </c>
      <c r="Y62" s="76"/>
      <c r="Z62" s="76">
        <v>67.900000000000006</v>
      </c>
      <c r="AA62" s="144">
        <f t="shared" si="12"/>
        <v>3621.00754650923</v>
      </c>
      <c r="AB62" s="78" t="s">
        <v>966</v>
      </c>
      <c r="AC62" s="258">
        <v>9.514435695538058E-2</v>
      </c>
      <c r="AD62" s="258">
        <v>0.15748031496062992</v>
      </c>
      <c r="AE62" s="258">
        <v>0.14799999999999999</v>
      </c>
      <c r="AF62" s="258">
        <v>0.15748031496062992</v>
      </c>
      <c r="AJ62" s="78">
        <v>320</v>
      </c>
      <c r="AK62" s="78">
        <v>545</v>
      </c>
      <c r="AL62" s="78">
        <v>496</v>
      </c>
      <c r="AM62" s="78">
        <v>260</v>
      </c>
      <c r="AN62" s="78">
        <v>405</v>
      </c>
      <c r="AO62" s="78">
        <v>392</v>
      </c>
      <c r="AP62" s="78">
        <v>380</v>
      </c>
      <c r="AQ62" s="78">
        <v>620</v>
      </c>
      <c r="AR62" s="78">
        <v>496</v>
      </c>
      <c r="AS62" s="78">
        <v>310</v>
      </c>
      <c r="AT62" s="78">
        <v>485</v>
      </c>
      <c r="AU62" s="78">
        <v>392</v>
      </c>
      <c r="AV62" s="78">
        <v>430</v>
      </c>
      <c r="AW62" s="78">
        <v>700</v>
      </c>
      <c r="AX62" s="78">
        <v>580</v>
      </c>
      <c r="AY62" s="78">
        <v>350</v>
      </c>
      <c r="AZ62" s="78">
        <v>545</v>
      </c>
      <c r="BA62" s="78">
        <v>458</v>
      </c>
    </row>
    <row r="82" spans="1:50" x14ac:dyDescent="0.25">
      <c r="H82" s="2169" t="s">
        <v>1892</v>
      </c>
      <c r="I82" s="2169"/>
      <c r="J82" s="158" t="s">
        <v>683</v>
      </c>
      <c r="L82" s="76" t="s">
        <v>605</v>
      </c>
      <c r="M82" s="76" t="s">
        <v>601</v>
      </c>
      <c r="N82" s="76" t="s">
        <v>611</v>
      </c>
      <c r="AJ82" s="76" t="s">
        <v>605</v>
      </c>
      <c r="AK82" s="76" t="s">
        <v>601</v>
      </c>
      <c r="AL82" s="76" t="s">
        <v>611</v>
      </c>
      <c r="AP82" s="76" t="s">
        <v>605</v>
      </c>
      <c r="AQ82" s="76" t="s">
        <v>601</v>
      </c>
      <c r="AR82" s="76" t="s">
        <v>611</v>
      </c>
      <c r="AV82" s="76" t="s">
        <v>605</v>
      </c>
      <c r="AW82" s="76" t="s">
        <v>601</v>
      </c>
      <c r="AX82" s="76" t="s">
        <v>611</v>
      </c>
    </row>
    <row r="83" spans="1:50" x14ac:dyDescent="0.25">
      <c r="A83" s="75" t="s">
        <v>1893</v>
      </c>
      <c r="D83" s="75" t="s">
        <v>1894</v>
      </c>
      <c r="H83" s="149" t="s">
        <v>683</v>
      </c>
      <c r="I83" s="149" t="s">
        <v>692</v>
      </c>
      <c r="J83" s="75" t="s">
        <v>1895</v>
      </c>
      <c r="L83" s="78" t="s">
        <v>802</v>
      </c>
      <c r="M83" s="258">
        <f>VLOOKUP(L83,$B$9:$K$23,9,FALSE)</f>
        <v>11.009255000000001</v>
      </c>
      <c r="N83" s="258">
        <f>VLOOKUP(L83,$B$9:$K$23,7,FALSE)</f>
        <v>6.8795931758530218</v>
      </c>
      <c r="AJ83" s="78" t="s">
        <v>802</v>
      </c>
      <c r="AK83" s="258">
        <f>VLOOKUP(AJ83,$B$9:$K$23,9,FALSE)</f>
        <v>11.009255000000001</v>
      </c>
      <c r="AL83" s="258">
        <f>VLOOKUP(AJ83,$B$9:$K$23,7,FALSE)</f>
        <v>6.8795931758530218</v>
      </c>
      <c r="AP83" s="78" t="s">
        <v>802</v>
      </c>
      <c r="AQ83" s="258">
        <f>VLOOKUP(AP83,$B$9:$K$23,9,FALSE)</f>
        <v>11.009255000000001</v>
      </c>
      <c r="AR83" s="258">
        <f>VLOOKUP(AP83,$B$9:$K$23,7,FALSE)</f>
        <v>6.8795931758530218</v>
      </c>
      <c r="AV83" s="78" t="s">
        <v>802</v>
      </c>
      <c r="AW83" s="258">
        <f>VLOOKUP(AV83,$B$9:$K$23,9,FALSE)</f>
        <v>11.009255000000001</v>
      </c>
      <c r="AX83" s="258">
        <f>VLOOKUP(AV83,$B$9:$K$23,7,FALSE)</f>
        <v>6.8795931758530218</v>
      </c>
    </row>
    <row r="84" spans="1:50" x14ac:dyDescent="0.25">
      <c r="A84" s="75">
        <v>1</v>
      </c>
      <c r="D84" s="75" t="s">
        <v>599</v>
      </c>
      <c r="F84" s="75" t="s">
        <v>599</v>
      </c>
      <c r="H84" s="78" t="s">
        <v>1896</v>
      </c>
      <c r="I84" s="78" t="s">
        <v>609</v>
      </c>
      <c r="J84" s="77" t="s">
        <v>1897</v>
      </c>
      <c r="L84" s="78" t="s">
        <v>804</v>
      </c>
      <c r="M84" s="258">
        <f t="shared" ref="M84:M97" si="15">VLOOKUP(L84,$B$9:$K$23,9,FALSE)</f>
        <v>6.8847200000000006</v>
      </c>
      <c r="N84" s="258">
        <f t="shared" ref="N84:N97" si="16">VLOOKUP(L84,$B$9:$K$23,7,FALSE)</f>
        <v>4.1277559055118109</v>
      </c>
      <c r="AJ84" s="78" t="s">
        <v>804</v>
      </c>
      <c r="AK84" s="258">
        <f t="shared" ref="AK84:AK97" si="17">VLOOKUP(AJ84,$B$9:$K$23,9,FALSE)</f>
        <v>6.8847200000000006</v>
      </c>
      <c r="AL84" s="258">
        <f t="shared" ref="AL84:AL97" si="18">VLOOKUP(AJ84,$B$9:$K$23,7,FALSE)</f>
        <v>4.1277559055118109</v>
      </c>
      <c r="AP84" s="78" t="s">
        <v>804</v>
      </c>
      <c r="AQ84" s="258">
        <f t="shared" ref="AQ84:AQ97" si="19">VLOOKUP(AP84,$B$9:$K$23,9,FALSE)</f>
        <v>6.8847200000000006</v>
      </c>
      <c r="AR84" s="258">
        <f t="shared" ref="AR84:AR97" si="20">VLOOKUP(AP84,$B$9:$K$23,7,FALSE)</f>
        <v>4.1277559055118109</v>
      </c>
      <c r="AV84" s="78" t="s">
        <v>804</v>
      </c>
      <c r="AW84" s="258">
        <f t="shared" ref="AW84:AW97" si="21">VLOOKUP(AV84,$B$9:$K$23,9,FALSE)</f>
        <v>6.8847200000000006</v>
      </c>
      <c r="AX84" s="258">
        <f t="shared" ref="AX84:AX97" si="22">VLOOKUP(AV84,$B$9:$K$23,7,FALSE)</f>
        <v>4.1277559055118109</v>
      </c>
    </row>
    <row r="85" spans="1:50" x14ac:dyDescent="0.25">
      <c r="A85" s="75">
        <v>2</v>
      </c>
      <c r="D85" s="75" t="s">
        <v>1055</v>
      </c>
      <c r="F85" s="75" t="s">
        <v>610</v>
      </c>
      <c r="H85" s="78" t="s">
        <v>802</v>
      </c>
      <c r="I85" s="78" t="s">
        <v>598</v>
      </c>
      <c r="J85" s="77" t="s">
        <v>1897</v>
      </c>
      <c r="L85" s="78" t="s">
        <v>806</v>
      </c>
      <c r="M85" s="258">
        <f t="shared" si="15"/>
        <v>4.4813650000000003</v>
      </c>
      <c r="N85" s="258">
        <f t="shared" si="16"/>
        <v>2.6830413385826772</v>
      </c>
      <c r="AJ85" s="78" t="s">
        <v>806</v>
      </c>
      <c r="AK85" s="258">
        <f t="shared" si="17"/>
        <v>4.4813650000000003</v>
      </c>
      <c r="AL85" s="258">
        <f t="shared" si="18"/>
        <v>2.6830413385826772</v>
      </c>
      <c r="AP85" s="78" t="s">
        <v>806</v>
      </c>
      <c r="AQ85" s="258">
        <f t="shared" si="19"/>
        <v>4.4813650000000003</v>
      </c>
      <c r="AR85" s="258">
        <f t="shared" si="20"/>
        <v>2.6830413385826772</v>
      </c>
      <c r="AV85" s="78" t="s">
        <v>806</v>
      </c>
      <c r="AW85" s="258">
        <f t="shared" si="21"/>
        <v>4.4813650000000003</v>
      </c>
      <c r="AX85" s="258">
        <f t="shared" si="22"/>
        <v>2.6830413385826772</v>
      </c>
    </row>
    <row r="86" spans="1:50" x14ac:dyDescent="0.25">
      <c r="A86" s="75">
        <v>3</v>
      </c>
      <c r="D86" s="75" t="s">
        <v>610</v>
      </c>
      <c r="F86" s="223" t="s">
        <v>1898</v>
      </c>
      <c r="H86" s="78" t="s">
        <v>804</v>
      </c>
      <c r="I86" s="78" t="s">
        <v>814</v>
      </c>
      <c r="J86" s="77" t="s">
        <v>1896</v>
      </c>
      <c r="L86" s="78" t="s">
        <v>808</v>
      </c>
      <c r="M86" s="258">
        <f t="shared" si="15"/>
        <v>2.7916700000000003</v>
      </c>
      <c r="N86" s="258">
        <f t="shared" si="16"/>
        <v>1.6855003280839895</v>
      </c>
      <c r="AJ86" s="78" t="s">
        <v>808</v>
      </c>
      <c r="AK86" s="258">
        <f t="shared" si="17"/>
        <v>2.7916700000000003</v>
      </c>
      <c r="AL86" s="258">
        <f t="shared" si="18"/>
        <v>1.6855003280839895</v>
      </c>
      <c r="AP86" s="78" t="s">
        <v>808</v>
      </c>
      <c r="AQ86" s="258">
        <f t="shared" si="19"/>
        <v>2.7916700000000003</v>
      </c>
      <c r="AR86" s="258">
        <f t="shared" si="20"/>
        <v>1.6855003280839895</v>
      </c>
      <c r="AV86" s="78" t="s">
        <v>808</v>
      </c>
      <c r="AW86" s="258">
        <f t="shared" si="21"/>
        <v>2.7916700000000003</v>
      </c>
      <c r="AX86" s="258">
        <f t="shared" si="22"/>
        <v>1.6855003280839895</v>
      </c>
    </row>
    <row r="87" spans="1:50" x14ac:dyDescent="0.25">
      <c r="A87" s="75">
        <v>4</v>
      </c>
      <c r="D87" s="78" t="s">
        <v>600</v>
      </c>
      <c r="H87" s="78" t="s">
        <v>806</v>
      </c>
      <c r="I87" s="78" t="s">
        <v>816</v>
      </c>
      <c r="J87" s="77" t="s">
        <v>1896</v>
      </c>
      <c r="L87" s="78" t="s">
        <v>810</v>
      </c>
      <c r="M87" s="258">
        <f t="shared" si="15"/>
        <v>1.7526650000000001</v>
      </c>
      <c r="N87" s="258">
        <f t="shared" si="16"/>
        <v>1.0663369422572178</v>
      </c>
      <c r="AJ87" s="78" t="s">
        <v>810</v>
      </c>
      <c r="AK87" s="258">
        <f t="shared" si="17"/>
        <v>1.7526650000000001</v>
      </c>
      <c r="AL87" s="258">
        <f t="shared" si="18"/>
        <v>1.0663369422572178</v>
      </c>
      <c r="AP87" s="78" t="s">
        <v>810</v>
      </c>
      <c r="AQ87" s="258">
        <f t="shared" si="19"/>
        <v>1.7526650000000001</v>
      </c>
      <c r="AR87" s="258">
        <f t="shared" si="20"/>
        <v>1.0663369422572178</v>
      </c>
      <c r="AV87" s="78" t="s">
        <v>810</v>
      </c>
      <c r="AW87" s="258">
        <f t="shared" si="21"/>
        <v>1.7526650000000001</v>
      </c>
      <c r="AX87" s="258">
        <f t="shared" si="22"/>
        <v>1.0663369422572178</v>
      </c>
    </row>
    <row r="88" spans="1:50" x14ac:dyDescent="0.25">
      <c r="A88" s="75">
        <v>5</v>
      </c>
      <c r="D88" s="78" t="s">
        <v>638</v>
      </c>
      <c r="H88" s="78" t="s">
        <v>808</v>
      </c>
      <c r="I88" s="78" t="s">
        <v>818</v>
      </c>
      <c r="J88" s="77" t="s">
        <v>802</v>
      </c>
      <c r="L88" s="78" t="s">
        <v>609</v>
      </c>
      <c r="M88" s="258">
        <f t="shared" si="15"/>
        <v>1.1019750000000001</v>
      </c>
      <c r="N88" s="258">
        <f t="shared" si="16"/>
        <v>0.68795931758530193</v>
      </c>
      <c r="AJ88" s="78" t="s">
        <v>609</v>
      </c>
      <c r="AK88" s="258">
        <f t="shared" si="17"/>
        <v>1.1019750000000001</v>
      </c>
      <c r="AL88" s="258">
        <f t="shared" si="18"/>
        <v>0.68795931758530193</v>
      </c>
      <c r="AP88" s="78" t="s">
        <v>609</v>
      </c>
      <c r="AQ88" s="258">
        <f t="shared" si="19"/>
        <v>1.1019750000000001</v>
      </c>
      <c r="AR88" s="258">
        <f t="shared" si="20"/>
        <v>0.68795931758530193</v>
      </c>
      <c r="AV88" s="78" t="s">
        <v>609</v>
      </c>
      <c r="AW88" s="258">
        <f t="shared" si="21"/>
        <v>1.1019750000000001</v>
      </c>
      <c r="AX88" s="258">
        <f t="shared" si="22"/>
        <v>0.68795931758530193</v>
      </c>
    </row>
    <row r="89" spans="1:50" x14ac:dyDescent="0.25">
      <c r="A89" s="75">
        <v>6</v>
      </c>
      <c r="D89" s="78" t="s">
        <v>645</v>
      </c>
      <c r="H89" s="78" t="s">
        <v>810</v>
      </c>
      <c r="I89" s="78" t="s">
        <v>964</v>
      </c>
      <c r="J89" s="77" t="s">
        <v>802</v>
      </c>
      <c r="L89" s="78" t="s">
        <v>598</v>
      </c>
      <c r="M89" s="258">
        <f t="shared" si="15"/>
        <v>0.68847200000000008</v>
      </c>
      <c r="N89" s="258">
        <f t="shared" si="16"/>
        <v>0.41277559055118113</v>
      </c>
      <c r="AJ89" s="78" t="s">
        <v>598</v>
      </c>
      <c r="AK89" s="258">
        <f t="shared" si="17"/>
        <v>0.68847200000000008</v>
      </c>
      <c r="AL89" s="258">
        <f t="shared" si="18"/>
        <v>0.41277559055118113</v>
      </c>
      <c r="AP89" s="78" t="s">
        <v>598</v>
      </c>
      <c r="AQ89" s="258">
        <f t="shared" si="19"/>
        <v>0.68847200000000008</v>
      </c>
      <c r="AR89" s="258">
        <f t="shared" si="20"/>
        <v>0.41277559055118113</v>
      </c>
      <c r="AV89" s="78" t="s">
        <v>598</v>
      </c>
      <c r="AW89" s="258">
        <f t="shared" si="21"/>
        <v>0.68847200000000008</v>
      </c>
      <c r="AX89" s="258">
        <f t="shared" si="22"/>
        <v>0.41277559055118113</v>
      </c>
    </row>
    <row r="90" spans="1:50" x14ac:dyDescent="0.25">
      <c r="A90" s="75">
        <v>7</v>
      </c>
      <c r="D90" s="78" t="s">
        <v>650</v>
      </c>
      <c r="H90" s="78" t="s">
        <v>609</v>
      </c>
      <c r="I90" s="78" t="s">
        <v>965</v>
      </c>
      <c r="J90" s="77" t="s">
        <v>804</v>
      </c>
      <c r="L90" s="78" t="s">
        <v>814</v>
      </c>
      <c r="M90" s="258">
        <f t="shared" si="15"/>
        <v>0.55098750000000007</v>
      </c>
      <c r="N90" s="258">
        <f t="shared" si="16"/>
        <v>0.34397965879265097</v>
      </c>
      <c r="AJ90" s="78" t="s">
        <v>814</v>
      </c>
      <c r="AK90" s="258">
        <f t="shared" si="17"/>
        <v>0.55098750000000007</v>
      </c>
      <c r="AL90" s="258">
        <f t="shared" si="18"/>
        <v>0.34397965879265097</v>
      </c>
      <c r="AP90" s="78" t="s">
        <v>814</v>
      </c>
      <c r="AQ90" s="258">
        <f t="shared" si="19"/>
        <v>0.55098750000000007</v>
      </c>
      <c r="AR90" s="258">
        <f t="shared" si="20"/>
        <v>0.34397965879265097</v>
      </c>
      <c r="AV90" s="78" t="s">
        <v>814</v>
      </c>
      <c r="AW90" s="258">
        <f t="shared" si="21"/>
        <v>0.55098750000000007</v>
      </c>
      <c r="AX90" s="258">
        <f t="shared" si="22"/>
        <v>0.34397965879265097</v>
      </c>
    </row>
    <row r="91" spans="1:50" x14ac:dyDescent="0.25">
      <c r="A91" s="75">
        <v>8</v>
      </c>
      <c r="H91" s="78" t="s">
        <v>598</v>
      </c>
      <c r="I91" s="78" t="s">
        <v>966</v>
      </c>
      <c r="J91" s="77" t="s">
        <v>804</v>
      </c>
      <c r="L91" s="78" t="s">
        <v>816</v>
      </c>
      <c r="M91" s="258">
        <f t="shared" si="15"/>
        <v>0.44813650000000005</v>
      </c>
      <c r="N91" s="258">
        <f t="shared" si="16"/>
        <v>0.27174393044619422</v>
      </c>
      <c r="AJ91" s="78" t="s">
        <v>816</v>
      </c>
      <c r="AK91" s="258">
        <f t="shared" si="17"/>
        <v>0.44813650000000005</v>
      </c>
      <c r="AL91" s="258">
        <f t="shared" si="18"/>
        <v>0.27174393044619422</v>
      </c>
      <c r="AP91" s="78" t="s">
        <v>816</v>
      </c>
      <c r="AQ91" s="258">
        <f t="shared" si="19"/>
        <v>0.44813650000000005</v>
      </c>
      <c r="AR91" s="258">
        <f t="shared" si="20"/>
        <v>0.27174393044619422</v>
      </c>
      <c r="AV91" s="78" t="s">
        <v>816</v>
      </c>
      <c r="AW91" s="258">
        <f t="shared" si="21"/>
        <v>0.44813650000000005</v>
      </c>
      <c r="AX91" s="258">
        <f t="shared" si="22"/>
        <v>0.27174393044619422</v>
      </c>
    </row>
    <row r="92" spans="1:50" x14ac:dyDescent="0.25">
      <c r="A92" s="75">
        <v>9</v>
      </c>
      <c r="H92" s="78" t="s">
        <v>814</v>
      </c>
      <c r="J92" s="77" t="s">
        <v>804</v>
      </c>
      <c r="L92" s="78" t="s">
        <v>818</v>
      </c>
      <c r="M92" s="258">
        <f t="shared" si="15"/>
        <v>0.34423600000000004</v>
      </c>
      <c r="N92" s="258">
        <f t="shared" si="16"/>
        <v>0.21670718503937009</v>
      </c>
      <c r="AJ92" s="78" t="s">
        <v>818</v>
      </c>
      <c r="AK92" s="258">
        <f t="shared" si="17"/>
        <v>0.34423600000000004</v>
      </c>
      <c r="AL92" s="258">
        <f t="shared" si="18"/>
        <v>0.21670718503937009</v>
      </c>
      <c r="AP92" s="78" t="s">
        <v>818</v>
      </c>
      <c r="AQ92" s="258">
        <f t="shared" si="19"/>
        <v>0.34423600000000004</v>
      </c>
      <c r="AR92" s="258">
        <f t="shared" si="20"/>
        <v>0.21670718503937009</v>
      </c>
      <c r="AV92" s="78" t="s">
        <v>818</v>
      </c>
      <c r="AW92" s="258">
        <f t="shared" si="21"/>
        <v>0.34423600000000004</v>
      </c>
      <c r="AX92" s="258">
        <f t="shared" si="22"/>
        <v>0.21670718503937009</v>
      </c>
    </row>
    <row r="93" spans="1:50" x14ac:dyDescent="0.25">
      <c r="A93" s="75">
        <v>10</v>
      </c>
      <c r="H93" s="78" t="s">
        <v>816</v>
      </c>
      <c r="J93" s="77" t="s">
        <v>806</v>
      </c>
      <c r="L93" s="78" t="s">
        <v>964</v>
      </c>
      <c r="M93" s="258">
        <f t="shared" si="15"/>
        <v>0.29595899999999997</v>
      </c>
      <c r="N93" s="258">
        <f t="shared" si="16"/>
        <v>0.18574901574803152</v>
      </c>
      <c r="AJ93" s="78" t="s">
        <v>964</v>
      </c>
      <c r="AK93" s="258">
        <f t="shared" si="17"/>
        <v>0.29595899999999997</v>
      </c>
      <c r="AL93" s="258">
        <f t="shared" si="18"/>
        <v>0.18574901574803152</v>
      </c>
      <c r="AP93" s="78" t="s">
        <v>964</v>
      </c>
      <c r="AQ93" s="258">
        <f t="shared" si="19"/>
        <v>0.29595899999999997</v>
      </c>
      <c r="AR93" s="258">
        <f t="shared" si="20"/>
        <v>0.18574901574803152</v>
      </c>
      <c r="AV93" s="78" t="s">
        <v>964</v>
      </c>
      <c r="AW93" s="258">
        <f t="shared" si="21"/>
        <v>0.29595899999999997</v>
      </c>
      <c r="AX93" s="258">
        <f t="shared" si="22"/>
        <v>0.18574901574803152</v>
      </c>
    </row>
    <row r="94" spans="1:50" x14ac:dyDescent="0.25">
      <c r="H94" s="78" t="s">
        <v>818</v>
      </c>
      <c r="J94" s="77" t="s">
        <v>806</v>
      </c>
      <c r="L94" s="78" t="s">
        <v>965</v>
      </c>
      <c r="M94" s="258">
        <f t="shared" si="15"/>
        <v>0.216197</v>
      </c>
      <c r="N94" s="258">
        <f t="shared" si="16"/>
        <v>0.13415206692913387</v>
      </c>
      <c r="AJ94" s="78" t="s">
        <v>965</v>
      </c>
      <c r="AK94" s="258">
        <f t="shared" si="17"/>
        <v>0.216197</v>
      </c>
      <c r="AL94" s="258">
        <f t="shared" si="18"/>
        <v>0.13415206692913387</v>
      </c>
      <c r="AP94" s="78" t="s">
        <v>965</v>
      </c>
      <c r="AQ94" s="258">
        <f t="shared" si="19"/>
        <v>0.216197</v>
      </c>
      <c r="AR94" s="258">
        <f t="shared" si="20"/>
        <v>0.13415206692913387</v>
      </c>
      <c r="AV94" s="78" t="s">
        <v>965</v>
      </c>
      <c r="AW94" s="258">
        <f t="shared" si="21"/>
        <v>0.216197</v>
      </c>
      <c r="AX94" s="258">
        <f t="shared" si="22"/>
        <v>0.13415206692913387</v>
      </c>
    </row>
    <row r="95" spans="1:50" x14ac:dyDescent="0.25">
      <c r="H95" s="78" t="s">
        <v>964</v>
      </c>
      <c r="J95" s="77" t="s">
        <v>808</v>
      </c>
      <c r="L95" s="78" t="s">
        <v>966</v>
      </c>
      <c r="M95" s="258">
        <f t="shared" si="15"/>
        <v>0.15532600000000002</v>
      </c>
      <c r="N95" s="258">
        <f t="shared" si="16"/>
        <v>9.9754101049868774E-2</v>
      </c>
      <c r="AJ95" s="78" t="s">
        <v>966</v>
      </c>
      <c r="AK95" s="258">
        <f t="shared" si="17"/>
        <v>0.15532600000000002</v>
      </c>
      <c r="AL95" s="258">
        <f t="shared" si="18"/>
        <v>9.9754101049868774E-2</v>
      </c>
      <c r="AP95" s="78" t="s">
        <v>966</v>
      </c>
      <c r="AQ95" s="258">
        <f t="shared" si="19"/>
        <v>0.15532600000000002</v>
      </c>
      <c r="AR95" s="258">
        <f t="shared" si="20"/>
        <v>9.9754101049868774E-2</v>
      </c>
      <c r="AV95" s="78" t="s">
        <v>966</v>
      </c>
      <c r="AW95" s="258">
        <f t="shared" si="21"/>
        <v>0.15532600000000002</v>
      </c>
      <c r="AX95" s="258">
        <f t="shared" si="22"/>
        <v>9.9754101049868774E-2</v>
      </c>
    </row>
    <row r="96" spans="1:50" x14ac:dyDescent="0.25">
      <c r="H96" s="78" t="s">
        <v>965</v>
      </c>
      <c r="J96" s="77" t="s">
        <v>808</v>
      </c>
      <c r="L96" s="78" t="s">
        <v>967</v>
      </c>
      <c r="M96" s="258">
        <f t="shared" si="15"/>
        <v>0.10704900000000001</v>
      </c>
      <c r="N96" s="258">
        <f t="shared" si="16"/>
        <v>7.234305000000002E-2</v>
      </c>
      <c r="AJ96" s="78" t="s">
        <v>967</v>
      </c>
      <c r="AK96" s="258">
        <f t="shared" si="17"/>
        <v>0.10704900000000001</v>
      </c>
      <c r="AL96" s="258">
        <f t="shared" si="18"/>
        <v>7.234305000000002E-2</v>
      </c>
      <c r="AP96" s="78" t="s">
        <v>967</v>
      </c>
      <c r="AQ96" s="258">
        <f t="shared" si="19"/>
        <v>0.10704900000000001</v>
      </c>
      <c r="AR96" s="258">
        <f t="shared" si="20"/>
        <v>7.234305000000002E-2</v>
      </c>
      <c r="AV96" s="78" t="s">
        <v>967</v>
      </c>
      <c r="AW96" s="258">
        <f t="shared" si="21"/>
        <v>0.10704900000000001</v>
      </c>
      <c r="AX96" s="258">
        <f t="shared" si="22"/>
        <v>7.234305000000002E-2</v>
      </c>
    </row>
    <row r="97" spans="1:50" x14ac:dyDescent="0.25">
      <c r="H97" s="78" t="s">
        <v>966</v>
      </c>
      <c r="J97" s="77" t="s">
        <v>808</v>
      </c>
      <c r="L97" s="78" t="s">
        <v>968</v>
      </c>
      <c r="M97" s="258">
        <f t="shared" si="15"/>
        <v>8.605900000000001E-2</v>
      </c>
      <c r="N97" s="258">
        <f t="shared" si="16"/>
        <v>6.1858550000000005E-2</v>
      </c>
      <c r="AJ97" s="78" t="s">
        <v>968</v>
      </c>
      <c r="AK97" s="258">
        <f t="shared" si="17"/>
        <v>8.605900000000001E-2</v>
      </c>
      <c r="AL97" s="258">
        <f t="shared" si="18"/>
        <v>6.1858550000000005E-2</v>
      </c>
      <c r="AP97" s="78" t="s">
        <v>968</v>
      </c>
      <c r="AQ97" s="258">
        <f t="shared" si="19"/>
        <v>8.605900000000001E-2</v>
      </c>
      <c r="AR97" s="258">
        <f t="shared" si="20"/>
        <v>6.1858550000000005E-2</v>
      </c>
      <c r="AV97" s="78" t="s">
        <v>968</v>
      </c>
      <c r="AW97" s="258">
        <f t="shared" si="21"/>
        <v>8.605900000000001E-2</v>
      </c>
      <c r="AX97" s="258">
        <f t="shared" si="22"/>
        <v>6.1858550000000005E-2</v>
      </c>
    </row>
    <row r="98" spans="1:50" x14ac:dyDescent="0.25">
      <c r="H98" s="78" t="s">
        <v>967</v>
      </c>
      <c r="J98" s="254" t="s">
        <v>1899</v>
      </c>
    </row>
    <row r="108" spans="1:50" x14ac:dyDescent="0.25">
      <c r="A108" s="1634" t="s">
        <v>1900</v>
      </c>
      <c r="B108" s="1634"/>
      <c r="C108" s="1634"/>
      <c r="E108" s="4" t="s">
        <v>1901</v>
      </c>
      <c r="G108" s="75" t="s">
        <v>1902</v>
      </c>
    </row>
    <row r="110" spans="1:50" x14ac:dyDescent="0.25">
      <c r="A110" s="154" t="s">
        <v>1903</v>
      </c>
      <c r="B110" s="154" t="s">
        <v>611</v>
      </c>
      <c r="C110" s="154" t="s">
        <v>601</v>
      </c>
      <c r="E110" s="74" t="s">
        <v>1904</v>
      </c>
      <c r="G110" s="74" t="s">
        <v>1905</v>
      </c>
      <c r="H110" s="168" t="s">
        <v>1906</v>
      </c>
    </row>
    <row r="111" spans="1:50" x14ac:dyDescent="0.25">
      <c r="A111" s="76">
        <v>0</v>
      </c>
      <c r="B111" s="153" t="s">
        <v>802</v>
      </c>
      <c r="C111" s="78" t="s">
        <v>802</v>
      </c>
      <c r="E111" s="265">
        <v>15</v>
      </c>
      <c r="G111" s="149" t="s">
        <v>1907</v>
      </c>
      <c r="H111" s="169">
        <v>0.05</v>
      </c>
    </row>
    <row r="112" spans="1:50" x14ac:dyDescent="0.25">
      <c r="A112" s="76">
        <v>20</v>
      </c>
      <c r="B112" s="78" t="s">
        <v>802</v>
      </c>
      <c r="C112" s="78" t="s">
        <v>804</v>
      </c>
      <c r="E112" s="150">
        <v>15</v>
      </c>
      <c r="G112" s="149" t="s">
        <v>1908</v>
      </c>
      <c r="H112" s="169">
        <v>0.08</v>
      </c>
    </row>
    <row r="113" spans="1:8" x14ac:dyDescent="0.25">
      <c r="A113" s="76">
        <v>30</v>
      </c>
      <c r="B113" s="78" t="s">
        <v>804</v>
      </c>
      <c r="C113" s="78" t="s">
        <v>806</v>
      </c>
      <c r="E113" s="149">
        <v>20</v>
      </c>
      <c r="G113" s="149" t="s">
        <v>1909</v>
      </c>
      <c r="H113" s="169">
        <v>0.12</v>
      </c>
    </row>
    <row r="114" spans="1:8" x14ac:dyDescent="0.25">
      <c r="A114" s="76">
        <v>40</v>
      </c>
      <c r="B114" s="78" t="s">
        <v>804</v>
      </c>
      <c r="C114" s="78" t="s">
        <v>806</v>
      </c>
      <c r="E114" s="149">
        <v>25</v>
      </c>
      <c r="G114" s="149" t="s">
        <v>1910</v>
      </c>
      <c r="H114" s="169">
        <v>0.15</v>
      </c>
    </row>
    <row r="115" spans="1:8" x14ac:dyDescent="0.25">
      <c r="A115" s="76">
        <v>60</v>
      </c>
      <c r="B115" s="78" t="s">
        <v>804</v>
      </c>
      <c r="C115" s="78" t="s">
        <v>806</v>
      </c>
      <c r="E115" s="149">
        <v>30</v>
      </c>
      <c r="G115" s="149" t="s">
        <v>1911</v>
      </c>
      <c r="H115" s="169">
        <v>0.2</v>
      </c>
    </row>
    <row r="116" spans="1:8" x14ac:dyDescent="0.25">
      <c r="A116" s="76">
        <v>100</v>
      </c>
      <c r="B116" s="78" t="s">
        <v>806</v>
      </c>
      <c r="C116" s="78" t="s">
        <v>808</v>
      </c>
      <c r="E116" s="264">
        <v>35</v>
      </c>
    </row>
    <row r="117" spans="1:8" x14ac:dyDescent="0.25">
      <c r="A117" s="76">
        <v>200</v>
      </c>
      <c r="B117" s="78" t="s">
        <v>808</v>
      </c>
      <c r="C117" s="78" t="s">
        <v>810</v>
      </c>
      <c r="E117" s="149">
        <v>35</v>
      </c>
    </row>
    <row r="118" spans="1:8" x14ac:dyDescent="0.25">
      <c r="A118" s="76">
        <v>300</v>
      </c>
      <c r="B118" s="78" t="s">
        <v>810</v>
      </c>
      <c r="C118" s="78" t="s">
        <v>609</v>
      </c>
      <c r="E118" s="149">
        <v>40</v>
      </c>
    </row>
    <row r="119" spans="1:8" x14ac:dyDescent="0.25">
      <c r="A119" s="76">
        <v>400</v>
      </c>
      <c r="B119" s="153" t="s">
        <v>609</v>
      </c>
      <c r="C119" s="153" t="s">
        <v>598</v>
      </c>
      <c r="E119" s="149">
        <v>45</v>
      </c>
    </row>
    <row r="120" spans="1:8" x14ac:dyDescent="0.25">
      <c r="A120" s="76">
        <v>500</v>
      </c>
      <c r="B120" s="78" t="s">
        <v>609</v>
      </c>
      <c r="C120" s="78" t="s">
        <v>598</v>
      </c>
      <c r="E120" s="149">
        <v>50</v>
      </c>
    </row>
    <row r="121" spans="1:8" x14ac:dyDescent="0.25">
      <c r="A121" s="76">
        <v>600</v>
      </c>
      <c r="B121" s="153" t="s">
        <v>598</v>
      </c>
      <c r="C121" s="78" t="s">
        <v>814</v>
      </c>
      <c r="E121" s="149">
        <v>60</v>
      </c>
    </row>
    <row r="122" spans="1:8" x14ac:dyDescent="0.25">
      <c r="A122" s="76">
        <v>800</v>
      </c>
      <c r="B122" s="78" t="s">
        <v>598</v>
      </c>
      <c r="C122" s="78" t="s">
        <v>816</v>
      </c>
      <c r="E122" s="149">
        <v>70</v>
      </c>
    </row>
    <row r="123" spans="1:8" x14ac:dyDescent="0.25">
      <c r="A123" s="76">
        <v>1000</v>
      </c>
      <c r="B123" s="78" t="s">
        <v>814</v>
      </c>
      <c r="C123" s="78" t="s">
        <v>818</v>
      </c>
      <c r="E123" s="149">
        <v>80</v>
      </c>
    </row>
    <row r="124" spans="1:8" x14ac:dyDescent="0.25">
      <c r="A124" s="76">
        <v>1200</v>
      </c>
      <c r="B124" s="78" t="s">
        <v>816</v>
      </c>
      <c r="C124" s="76" t="s">
        <v>964</v>
      </c>
      <c r="E124" s="149">
        <v>90</v>
      </c>
    </row>
    <row r="125" spans="1:8" x14ac:dyDescent="0.25">
      <c r="A125" s="76">
        <v>1600</v>
      </c>
      <c r="B125" s="78" t="s">
        <v>818</v>
      </c>
      <c r="C125" s="76" t="s">
        <v>965</v>
      </c>
      <c r="E125" s="149">
        <v>100</v>
      </c>
    </row>
    <row r="126" spans="1:8" x14ac:dyDescent="0.25">
      <c r="A126" s="76">
        <v>2000</v>
      </c>
      <c r="B126" s="78" t="s">
        <v>964</v>
      </c>
      <c r="C126" s="76" t="s">
        <v>1912</v>
      </c>
      <c r="E126" s="149">
        <v>110</v>
      </c>
    </row>
    <row r="127" spans="1:8" x14ac:dyDescent="0.25">
      <c r="A127" s="76">
        <v>2500</v>
      </c>
      <c r="B127" s="78" t="s">
        <v>965</v>
      </c>
      <c r="C127" s="76" t="s">
        <v>966</v>
      </c>
      <c r="E127" s="149">
        <v>125</v>
      </c>
    </row>
    <row r="128" spans="1:8" x14ac:dyDescent="0.25">
      <c r="A128" s="76">
        <v>3000</v>
      </c>
      <c r="B128" s="76" t="s">
        <v>1912</v>
      </c>
      <c r="C128" s="161" t="s">
        <v>967</v>
      </c>
      <c r="E128" s="149">
        <v>150</v>
      </c>
    </row>
    <row r="129" spans="1:5" x14ac:dyDescent="0.25">
      <c r="A129" s="76">
        <v>4000</v>
      </c>
      <c r="B129" s="76" t="s">
        <v>966</v>
      </c>
      <c r="C129" s="252" t="s">
        <v>967</v>
      </c>
      <c r="E129" s="149">
        <v>175</v>
      </c>
    </row>
    <row r="130" spans="1:5" x14ac:dyDescent="0.25">
      <c r="A130" s="76">
        <v>5000</v>
      </c>
      <c r="B130" s="161" t="s">
        <v>967</v>
      </c>
      <c r="C130" s="253" t="s">
        <v>968</v>
      </c>
      <c r="E130" s="149">
        <v>200</v>
      </c>
    </row>
    <row r="131" spans="1:5" x14ac:dyDescent="0.25">
      <c r="A131" s="76">
        <v>6000</v>
      </c>
      <c r="B131" s="161" t="s">
        <v>968</v>
      </c>
      <c r="C131" s="253" t="s">
        <v>968</v>
      </c>
      <c r="E131" s="149">
        <v>225</v>
      </c>
    </row>
    <row r="132" spans="1:5" x14ac:dyDescent="0.25">
      <c r="A132" s="155"/>
      <c r="B132" s="155"/>
      <c r="C132" s="155"/>
      <c r="E132" s="149">
        <v>250</v>
      </c>
    </row>
    <row r="133" spans="1:5" x14ac:dyDescent="0.25">
      <c r="E133" s="149">
        <v>300</v>
      </c>
    </row>
    <row r="134" spans="1:5" x14ac:dyDescent="0.25">
      <c r="E134" s="149">
        <v>350</v>
      </c>
    </row>
    <row r="135" spans="1:5" x14ac:dyDescent="0.25">
      <c r="E135" s="149">
        <v>400</v>
      </c>
    </row>
    <row r="136" spans="1:5" x14ac:dyDescent="0.25">
      <c r="E136" s="149">
        <v>450</v>
      </c>
    </row>
    <row r="137" spans="1:5" x14ac:dyDescent="0.25">
      <c r="E137" s="149">
        <v>500</v>
      </c>
    </row>
    <row r="138" spans="1:5" x14ac:dyDescent="0.25">
      <c r="E138" s="149">
        <v>600</v>
      </c>
    </row>
    <row r="139" spans="1:5" x14ac:dyDescent="0.25">
      <c r="E139" s="149">
        <v>700</v>
      </c>
    </row>
    <row r="140" spans="1:5" x14ac:dyDescent="0.25">
      <c r="E140" s="149">
        <v>800</v>
      </c>
    </row>
    <row r="141" spans="1:5" x14ac:dyDescent="0.25">
      <c r="E141" s="149">
        <v>1000</v>
      </c>
    </row>
    <row r="142" spans="1:5" x14ac:dyDescent="0.25">
      <c r="E142" s="149">
        <v>1200</v>
      </c>
    </row>
    <row r="143" spans="1:5" x14ac:dyDescent="0.25">
      <c r="E143" s="149">
        <v>1600</v>
      </c>
    </row>
    <row r="144" spans="1:5" x14ac:dyDescent="0.25">
      <c r="E144" s="149">
        <v>2000</v>
      </c>
    </row>
    <row r="145" spans="1:53" x14ac:dyDescent="0.25">
      <c r="E145" s="149">
        <v>2500</v>
      </c>
    </row>
    <row r="146" spans="1:53" x14ac:dyDescent="0.25">
      <c r="E146" s="149">
        <v>3000</v>
      </c>
    </row>
    <row r="147" spans="1:53" x14ac:dyDescent="0.25">
      <c r="E147" s="149">
        <v>4000</v>
      </c>
    </row>
    <row r="148" spans="1:53" x14ac:dyDescent="0.25">
      <c r="E148" s="149">
        <v>5000</v>
      </c>
    </row>
    <row r="149" spans="1:53" x14ac:dyDescent="0.25">
      <c r="E149" s="149">
        <v>6000</v>
      </c>
    </row>
    <row r="150" spans="1:53" x14ac:dyDescent="0.25">
      <c r="E150" s="149"/>
    </row>
    <row r="151" spans="1:53" x14ac:dyDescent="0.25">
      <c r="E151" s="149"/>
    </row>
    <row r="152" spans="1:53" ht="15.6" x14ac:dyDescent="0.3">
      <c r="A152" s="2166" t="s">
        <v>1913</v>
      </c>
      <c r="B152" s="2166"/>
      <c r="C152" s="2166"/>
      <c r="D152" s="2166"/>
      <c r="E152" s="2166"/>
      <c r="F152" s="2166"/>
      <c r="G152" s="2166"/>
      <c r="H152" s="2166"/>
      <c r="I152" s="2166"/>
      <c r="J152" s="2166"/>
      <c r="K152" s="2166"/>
      <c r="L152" s="2166"/>
      <c r="M152" s="2166"/>
      <c r="N152" s="2166"/>
      <c r="O152" s="2166"/>
      <c r="P152" s="2166"/>
      <c r="Q152" s="2166"/>
      <c r="R152" s="2166"/>
      <c r="S152" s="2166"/>
      <c r="T152" s="2166"/>
      <c r="U152" s="2166"/>
      <c r="V152" s="2166"/>
      <c r="W152" s="2166"/>
      <c r="X152" s="2166"/>
      <c r="Y152" s="2166"/>
      <c r="Z152" s="2166"/>
      <c r="AA152" s="2166"/>
    </row>
    <row r="153" spans="1:53" x14ac:dyDescent="0.25">
      <c r="B153" s="75">
        <v>1</v>
      </c>
      <c r="C153" s="75">
        <v>2</v>
      </c>
      <c r="D153" s="75">
        <v>3</v>
      </c>
      <c r="E153" s="75">
        <v>4</v>
      </c>
      <c r="F153" s="75">
        <v>5</v>
      </c>
      <c r="G153" s="75">
        <v>6</v>
      </c>
      <c r="H153" s="75">
        <v>7</v>
      </c>
      <c r="I153" s="75">
        <v>8</v>
      </c>
      <c r="J153" s="75">
        <v>9</v>
      </c>
      <c r="K153" s="75">
        <v>10</v>
      </c>
      <c r="L153" s="75">
        <v>11</v>
      </c>
      <c r="M153" s="75">
        <v>12</v>
      </c>
      <c r="N153" s="75">
        <v>13</v>
      </c>
      <c r="O153" s="75">
        <v>14</v>
      </c>
      <c r="P153" s="75">
        <v>15</v>
      </c>
      <c r="Q153" s="75">
        <v>16</v>
      </c>
      <c r="R153" s="75">
        <v>17</v>
      </c>
      <c r="S153" s="75">
        <v>18</v>
      </c>
      <c r="T153" s="149">
        <v>19</v>
      </c>
      <c r="U153" s="149">
        <v>20</v>
      </c>
      <c r="V153" s="75">
        <v>21</v>
      </c>
      <c r="W153" s="75">
        <v>22</v>
      </c>
      <c r="X153" s="75">
        <v>23</v>
      </c>
      <c r="Y153" s="149">
        <v>24</v>
      </c>
      <c r="Z153" s="75">
        <v>25</v>
      </c>
      <c r="AA153" s="75">
        <v>26</v>
      </c>
      <c r="AJ153" s="75">
        <v>11</v>
      </c>
      <c r="AK153" s="75">
        <v>12</v>
      </c>
      <c r="AL153" s="75">
        <v>13</v>
      </c>
      <c r="AM153" s="75">
        <v>14</v>
      </c>
      <c r="AN153" s="75">
        <v>15</v>
      </c>
      <c r="AO153" s="75">
        <v>16</v>
      </c>
      <c r="AP153" s="75">
        <v>11</v>
      </c>
      <c r="AQ153" s="75">
        <v>12</v>
      </c>
      <c r="AR153" s="75">
        <v>13</v>
      </c>
      <c r="AS153" s="75">
        <v>14</v>
      </c>
      <c r="AT153" s="75">
        <v>15</v>
      </c>
      <c r="AU153" s="75">
        <v>16</v>
      </c>
      <c r="AV153" s="75">
        <v>11</v>
      </c>
      <c r="AW153" s="75">
        <v>12</v>
      </c>
      <c r="AX153" s="75">
        <v>13</v>
      </c>
      <c r="AY153" s="75">
        <v>14</v>
      </c>
      <c r="AZ153" s="75">
        <v>15</v>
      </c>
      <c r="BA153" s="75">
        <v>16</v>
      </c>
    </row>
    <row r="154" spans="1:53" s="224" customFormat="1" ht="36.75" customHeight="1" x14ac:dyDescent="0.25">
      <c r="A154" s="1632" t="s">
        <v>936</v>
      </c>
      <c r="B154" s="1632" t="s">
        <v>937</v>
      </c>
      <c r="C154" s="1632" t="s">
        <v>938</v>
      </c>
      <c r="D154" s="1632" t="s">
        <v>939</v>
      </c>
      <c r="E154" s="1632"/>
      <c r="F154" s="1632" t="s">
        <v>1914</v>
      </c>
      <c r="G154" s="1632"/>
      <c r="H154" s="1632" t="s">
        <v>1915</v>
      </c>
      <c r="I154" s="1632"/>
      <c r="J154" s="1632" t="s">
        <v>1916</v>
      </c>
      <c r="K154" s="1632"/>
      <c r="L154" s="1632" t="s">
        <v>1917</v>
      </c>
      <c r="M154" s="1632"/>
      <c r="N154" s="1632"/>
      <c r="O154" s="1632" t="s">
        <v>1918</v>
      </c>
      <c r="P154" s="1632"/>
      <c r="Q154" s="1632"/>
      <c r="R154" s="77" t="s">
        <v>945</v>
      </c>
      <c r="S154" s="77"/>
      <c r="T154" s="77"/>
      <c r="U154" s="77"/>
      <c r="V154" s="270"/>
      <c r="W154" s="270"/>
      <c r="X154" s="1632" t="s">
        <v>936</v>
      </c>
      <c r="Y154" s="2164" t="s">
        <v>1919</v>
      </c>
      <c r="Z154" s="77"/>
      <c r="AA154" s="77"/>
      <c r="AJ154" s="1632" t="s">
        <v>1917</v>
      </c>
      <c r="AK154" s="1632"/>
      <c r="AL154" s="1632"/>
      <c r="AM154" s="1632" t="s">
        <v>1918</v>
      </c>
      <c r="AN154" s="1632"/>
      <c r="AO154" s="1632"/>
      <c r="AP154" s="1632" t="s">
        <v>1917</v>
      </c>
      <c r="AQ154" s="1632"/>
      <c r="AR154" s="1632"/>
      <c r="AS154" s="1632" t="s">
        <v>1918</v>
      </c>
      <c r="AT154" s="1632"/>
      <c r="AU154" s="1632"/>
      <c r="AV154" s="1632" t="s">
        <v>1917</v>
      </c>
      <c r="AW154" s="1632"/>
      <c r="AX154" s="1632"/>
      <c r="AY154" s="1632" t="s">
        <v>1918</v>
      </c>
      <c r="AZ154" s="1632"/>
      <c r="BA154" s="1632"/>
    </row>
    <row r="155" spans="1:53" s="224" customFormat="1" ht="36.75" customHeight="1" x14ac:dyDescent="0.25">
      <c r="A155" s="1632"/>
      <c r="B155" s="1632"/>
      <c r="C155" s="1632"/>
      <c r="D155" s="77" t="s">
        <v>798</v>
      </c>
      <c r="E155" s="77" t="s">
        <v>1886</v>
      </c>
      <c r="F155" s="77" t="s">
        <v>947</v>
      </c>
      <c r="G155" s="77" t="s">
        <v>1887</v>
      </c>
      <c r="H155" s="77" t="s">
        <v>1888</v>
      </c>
      <c r="I155" s="77" t="s">
        <v>948</v>
      </c>
      <c r="J155" s="77" t="s">
        <v>1888</v>
      </c>
      <c r="K155" s="77" t="s">
        <v>948</v>
      </c>
      <c r="L155" s="77" t="s">
        <v>1889</v>
      </c>
      <c r="M155" s="77" t="s">
        <v>1890</v>
      </c>
      <c r="N155" s="77" t="s">
        <v>1891</v>
      </c>
      <c r="O155" s="77" t="s">
        <v>1889</v>
      </c>
      <c r="P155" s="77" t="s">
        <v>1890</v>
      </c>
      <c r="Q155" s="77" t="s">
        <v>1891</v>
      </c>
      <c r="R155" s="77"/>
      <c r="S155" s="77"/>
      <c r="T155" s="77"/>
      <c r="U155" s="77"/>
      <c r="V155" s="270"/>
      <c r="W155" s="270"/>
      <c r="X155" s="1632"/>
      <c r="Y155" s="2165"/>
      <c r="Z155" s="77"/>
      <c r="AA155" s="77"/>
      <c r="AJ155" s="77" t="s">
        <v>1920</v>
      </c>
      <c r="AK155" s="77" t="s">
        <v>1921</v>
      </c>
      <c r="AL155" s="77" t="s">
        <v>1922</v>
      </c>
      <c r="AM155" s="77" t="s">
        <v>1920</v>
      </c>
      <c r="AN155" s="77" t="s">
        <v>1921</v>
      </c>
      <c r="AO155" s="77" t="s">
        <v>1922</v>
      </c>
      <c r="AP155" s="77" t="s">
        <v>1920</v>
      </c>
      <c r="AQ155" s="77" t="s">
        <v>1921</v>
      </c>
      <c r="AR155" s="77" t="s">
        <v>1922</v>
      </c>
      <c r="AS155" s="77" t="s">
        <v>1920</v>
      </c>
      <c r="AT155" s="77" t="s">
        <v>1921</v>
      </c>
      <c r="AU155" s="77" t="s">
        <v>1922</v>
      </c>
      <c r="AV155" s="77" t="s">
        <v>1920</v>
      </c>
      <c r="AW155" s="77" t="s">
        <v>1921</v>
      </c>
      <c r="AX155" s="77" t="s">
        <v>1922</v>
      </c>
      <c r="AY155" s="77" t="s">
        <v>1920</v>
      </c>
      <c r="AZ155" s="77" t="s">
        <v>1921</v>
      </c>
      <c r="BA155" s="77" t="s">
        <v>1922</v>
      </c>
    </row>
    <row r="156" spans="1:53" x14ac:dyDescent="0.25">
      <c r="A156" s="78">
        <v>5</v>
      </c>
      <c r="B156" s="78" t="s">
        <v>810</v>
      </c>
      <c r="C156" s="78" t="s">
        <v>625</v>
      </c>
      <c r="D156" s="280">
        <v>21.5</v>
      </c>
      <c r="E156" s="57">
        <f t="shared" ref="E156:E161" si="23">+D156/25.4</f>
        <v>0.84645669291338588</v>
      </c>
      <c r="F156" s="272">
        <f t="shared" ref="F156:F161" si="24">+PI()*((D156^2)/(4))</f>
        <v>363.05030103047045</v>
      </c>
      <c r="G156" s="58">
        <f t="shared" ref="G156:G161" si="25">+F156/645.16</f>
        <v>0.56272909205541333</v>
      </c>
      <c r="H156" s="152">
        <v>0</v>
      </c>
      <c r="I156" s="152">
        <v>0</v>
      </c>
      <c r="J156" s="152">
        <v>2.7195</v>
      </c>
      <c r="K156" s="152">
        <v>0.19685039370078738</v>
      </c>
      <c r="L156" s="78"/>
      <c r="M156" s="78"/>
      <c r="N156" s="78"/>
      <c r="O156" s="78"/>
      <c r="P156" s="78">
        <v>100</v>
      </c>
      <c r="Q156" s="78"/>
      <c r="V156" s="83"/>
      <c r="X156" s="78">
        <v>5</v>
      </c>
      <c r="Y156" s="77">
        <v>4</v>
      </c>
      <c r="AJ156" s="78"/>
      <c r="AK156" s="78"/>
      <c r="AL156" s="78"/>
      <c r="AM156" s="78"/>
      <c r="AN156" s="78">
        <v>100</v>
      </c>
      <c r="AO156" s="78"/>
      <c r="AP156" s="78"/>
      <c r="AQ156" s="78"/>
      <c r="AR156" s="78"/>
      <c r="AS156" s="78"/>
      <c r="AT156" s="78">
        <v>100</v>
      </c>
      <c r="AU156" s="78"/>
      <c r="AV156" s="78"/>
      <c r="AW156" s="78"/>
      <c r="AX156" s="78"/>
      <c r="AY156" s="78"/>
      <c r="AZ156" s="78">
        <v>100</v>
      </c>
      <c r="BA156" s="78"/>
    </row>
    <row r="157" spans="1:53" x14ac:dyDescent="0.25">
      <c r="A157" s="78">
        <v>6</v>
      </c>
      <c r="B157" s="78" t="s">
        <v>609</v>
      </c>
      <c r="C157" s="78" t="s">
        <v>625</v>
      </c>
      <c r="D157" s="280">
        <v>25.7</v>
      </c>
      <c r="E157" s="57">
        <f t="shared" si="23"/>
        <v>1.0118110236220472</v>
      </c>
      <c r="F157" s="272">
        <f t="shared" si="24"/>
        <v>518.74763294238062</v>
      </c>
      <c r="G157" s="58">
        <f t="shared" si="25"/>
        <v>0.80406043918156833</v>
      </c>
      <c r="H157" s="152">
        <v>0</v>
      </c>
      <c r="I157" s="152">
        <v>0</v>
      </c>
      <c r="J157" s="152">
        <v>0.87111000000000005</v>
      </c>
      <c r="K157" s="152">
        <v>9.4890000000000002E-2</v>
      </c>
      <c r="L157" s="78"/>
      <c r="M157" s="78"/>
      <c r="N157" s="78"/>
      <c r="O157" s="78"/>
      <c r="P157" s="78">
        <v>135</v>
      </c>
      <c r="Q157" s="78"/>
      <c r="V157" s="83"/>
      <c r="X157" s="78">
        <v>6</v>
      </c>
      <c r="Y157" s="77">
        <v>2</v>
      </c>
      <c r="AJ157" s="78"/>
      <c r="AK157" s="78"/>
      <c r="AL157" s="78"/>
      <c r="AM157" s="78"/>
      <c r="AN157" s="78">
        <v>135</v>
      </c>
      <c r="AO157" s="78"/>
      <c r="AP157" s="78"/>
      <c r="AQ157" s="78"/>
      <c r="AR157" s="78"/>
      <c r="AS157" s="78"/>
      <c r="AT157" s="78">
        <v>135</v>
      </c>
      <c r="AU157" s="78"/>
      <c r="AV157" s="78"/>
      <c r="AW157" s="78"/>
      <c r="AX157" s="78"/>
      <c r="AY157" s="78"/>
      <c r="AZ157" s="78">
        <v>135</v>
      </c>
      <c r="BA157" s="78"/>
    </row>
    <row r="158" spans="1:53" x14ac:dyDescent="0.25">
      <c r="A158" s="78">
        <v>7</v>
      </c>
      <c r="B158" s="78" t="s">
        <v>598</v>
      </c>
      <c r="C158" s="78" t="s">
        <v>625</v>
      </c>
      <c r="D158" s="280">
        <v>33</v>
      </c>
      <c r="E158" s="57">
        <f t="shared" si="23"/>
        <v>1.299212598425197</v>
      </c>
      <c r="F158" s="272">
        <f t="shared" si="24"/>
        <v>855.2985999398212</v>
      </c>
      <c r="G158" s="58">
        <f t="shared" si="25"/>
        <v>1.3257154813376857</v>
      </c>
      <c r="H158" s="152">
        <v>0</v>
      </c>
      <c r="I158" s="152">
        <v>0</v>
      </c>
      <c r="J158" s="152"/>
      <c r="K158" s="152"/>
      <c r="L158" s="78"/>
      <c r="M158" s="78"/>
      <c r="N158" s="78"/>
      <c r="O158" s="78"/>
      <c r="P158" s="78">
        <v>180</v>
      </c>
      <c r="Q158" s="78"/>
      <c r="V158" s="83"/>
      <c r="X158" s="78">
        <v>7</v>
      </c>
      <c r="Y158" s="77" t="s">
        <v>662</v>
      </c>
      <c r="AJ158" s="78"/>
      <c r="AK158" s="78"/>
      <c r="AL158" s="78"/>
      <c r="AM158" s="78"/>
      <c r="AN158" s="78">
        <v>180</v>
      </c>
      <c r="AO158" s="78"/>
      <c r="AP158" s="78"/>
      <c r="AQ158" s="78"/>
      <c r="AR158" s="78"/>
      <c r="AS158" s="78"/>
      <c r="AT158" s="78">
        <v>180</v>
      </c>
      <c r="AU158" s="78"/>
      <c r="AV158" s="78"/>
      <c r="AW158" s="78"/>
      <c r="AX158" s="78"/>
      <c r="AY158" s="78"/>
      <c r="AZ158" s="78">
        <v>180</v>
      </c>
      <c r="BA158" s="78"/>
    </row>
    <row r="159" spans="1:53" x14ac:dyDescent="0.25">
      <c r="A159" s="78">
        <v>8</v>
      </c>
      <c r="B159" s="78" t="s">
        <v>814</v>
      </c>
      <c r="C159" s="78" t="s">
        <v>625</v>
      </c>
      <c r="D159" s="280">
        <v>36.1</v>
      </c>
      <c r="E159" s="57">
        <f t="shared" si="23"/>
        <v>1.4212598425196852</v>
      </c>
      <c r="F159" s="272">
        <f t="shared" si="24"/>
        <v>1023.5387405211886</v>
      </c>
      <c r="G159" s="58">
        <f t="shared" si="25"/>
        <v>1.5864882207842841</v>
      </c>
      <c r="H159" s="152">
        <v>0</v>
      </c>
      <c r="I159" s="152">
        <v>0</v>
      </c>
      <c r="J159" s="152">
        <v>0.43447999999999998</v>
      </c>
      <c r="K159" s="152">
        <v>9.3509999999999996E-2</v>
      </c>
      <c r="L159" s="78"/>
      <c r="M159" s="78"/>
      <c r="N159" s="78"/>
      <c r="O159" s="78"/>
      <c r="P159" s="78">
        <v>205</v>
      </c>
      <c r="Q159" s="78"/>
      <c r="V159" s="83"/>
      <c r="X159" s="78">
        <v>8</v>
      </c>
      <c r="Y159" s="77" t="s">
        <v>665</v>
      </c>
      <c r="AJ159" s="78"/>
      <c r="AK159" s="78"/>
      <c r="AL159" s="78"/>
      <c r="AM159" s="78"/>
      <c r="AN159" s="78">
        <v>205</v>
      </c>
      <c r="AO159" s="78"/>
      <c r="AP159" s="78"/>
      <c r="AQ159" s="78"/>
      <c r="AR159" s="78"/>
      <c r="AS159" s="78"/>
      <c r="AT159" s="78">
        <v>205</v>
      </c>
      <c r="AU159" s="78"/>
      <c r="AV159" s="78"/>
      <c r="AW159" s="78"/>
      <c r="AX159" s="78"/>
      <c r="AY159" s="78"/>
      <c r="AZ159" s="78">
        <v>205</v>
      </c>
      <c r="BA159" s="78"/>
    </row>
    <row r="160" spans="1:53" x14ac:dyDescent="0.25">
      <c r="A160" s="78">
        <v>9</v>
      </c>
      <c r="B160" s="78" t="s">
        <v>816</v>
      </c>
      <c r="C160" s="78" t="s">
        <v>625</v>
      </c>
      <c r="D160" s="280">
        <v>39.6</v>
      </c>
      <c r="E160" s="57">
        <f t="shared" si="23"/>
        <v>1.5590551181102363</v>
      </c>
      <c r="F160" s="272">
        <f t="shared" si="24"/>
        <v>1231.6299839133426</v>
      </c>
      <c r="G160" s="58">
        <f t="shared" si="25"/>
        <v>1.9090302931262673</v>
      </c>
      <c r="H160" s="152">
        <v>0</v>
      </c>
      <c r="I160" s="152">
        <v>0</v>
      </c>
      <c r="J160" s="152"/>
      <c r="K160" s="152"/>
      <c r="L160" s="78"/>
      <c r="M160" s="78"/>
      <c r="N160" s="78"/>
      <c r="O160" s="78"/>
      <c r="P160" s="78">
        <v>235</v>
      </c>
      <c r="Q160" s="78"/>
      <c r="V160" s="83"/>
      <c r="X160" s="78">
        <v>9</v>
      </c>
      <c r="Y160" s="77" t="s">
        <v>668</v>
      </c>
      <c r="AJ160" s="78"/>
      <c r="AK160" s="78"/>
      <c r="AL160" s="78"/>
      <c r="AM160" s="78"/>
      <c r="AN160" s="78">
        <v>235</v>
      </c>
      <c r="AO160" s="78"/>
      <c r="AP160" s="78"/>
      <c r="AQ160" s="78"/>
      <c r="AR160" s="78"/>
      <c r="AS160" s="78"/>
      <c r="AT160" s="78">
        <v>235</v>
      </c>
      <c r="AU160" s="78"/>
      <c r="AV160" s="78"/>
      <c r="AW160" s="78"/>
      <c r="AX160" s="78"/>
      <c r="AY160" s="78"/>
      <c r="AZ160" s="78">
        <v>235</v>
      </c>
      <c r="BA160" s="78"/>
    </row>
    <row r="161" spans="1:53" x14ac:dyDescent="0.25">
      <c r="A161" s="78">
        <v>10</v>
      </c>
      <c r="B161" s="78" t="s">
        <v>818</v>
      </c>
      <c r="C161" s="78" t="s">
        <v>625</v>
      </c>
      <c r="D161" s="280">
        <v>43.6</v>
      </c>
      <c r="E161" s="57">
        <f t="shared" si="23"/>
        <v>1.7165354330708662</v>
      </c>
      <c r="F161" s="272">
        <f t="shared" si="24"/>
        <v>1493.0104926920133</v>
      </c>
      <c r="G161" s="58">
        <f t="shared" si="25"/>
        <v>2.3141708920144048</v>
      </c>
      <c r="H161" s="152">
        <v>0</v>
      </c>
      <c r="I161" s="152">
        <v>0</v>
      </c>
      <c r="J161" s="152">
        <v>0.27339999999999998</v>
      </c>
      <c r="K161" s="152">
        <v>8.9410000000000003E-2</v>
      </c>
      <c r="L161" s="78"/>
      <c r="M161" s="78"/>
      <c r="N161" s="78"/>
      <c r="O161" s="78"/>
      <c r="P161" s="78">
        <v>275</v>
      </c>
      <c r="Q161" s="78"/>
      <c r="V161" s="83"/>
      <c r="X161" s="78">
        <v>10</v>
      </c>
      <c r="Y161" s="77" t="s">
        <v>671</v>
      </c>
      <c r="AJ161" s="78"/>
      <c r="AK161" s="78"/>
      <c r="AL161" s="78"/>
      <c r="AM161" s="78"/>
      <c r="AN161" s="78">
        <v>275</v>
      </c>
      <c r="AO161" s="78"/>
      <c r="AP161" s="78"/>
      <c r="AQ161" s="78"/>
      <c r="AR161" s="78"/>
      <c r="AS161" s="78"/>
      <c r="AT161" s="78">
        <v>275</v>
      </c>
      <c r="AU161" s="78"/>
      <c r="AV161" s="78"/>
      <c r="AW161" s="78"/>
      <c r="AX161" s="78"/>
      <c r="AY161" s="78"/>
      <c r="AZ161" s="78">
        <v>275</v>
      </c>
      <c r="BA161" s="78"/>
    </row>
    <row r="162" spans="1:53" x14ac:dyDescent="0.25">
      <c r="K162" s="152"/>
    </row>
  </sheetData>
  <mergeCells count="45">
    <mergeCell ref="AB7:AB8"/>
    <mergeCell ref="X7:X8"/>
    <mergeCell ref="A108:C108"/>
    <mergeCell ref="V7:W7"/>
    <mergeCell ref="L7:N7"/>
    <mergeCell ref="O7:Q7"/>
    <mergeCell ref="J7:K7"/>
    <mergeCell ref="C7:C8"/>
    <mergeCell ref="A7:A8"/>
    <mergeCell ref="D7:E7"/>
    <mergeCell ref="H7:I7"/>
    <mergeCell ref="F7:G7"/>
    <mergeCell ref="B7:B8"/>
    <mergeCell ref="H82:I82"/>
    <mergeCell ref="AG7:AG8"/>
    <mergeCell ref="S7:S8"/>
    <mergeCell ref="A152:AA152"/>
    <mergeCell ref="Y154:Y155"/>
    <mergeCell ref="X154:X155"/>
    <mergeCell ref="H154:I154"/>
    <mergeCell ref="J154:K154"/>
    <mergeCell ref="L154:N154"/>
    <mergeCell ref="O154:Q154"/>
    <mergeCell ref="A154:A155"/>
    <mergeCell ref="B154:B155"/>
    <mergeCell ref="C154:C155"/>
    <mergeCell ref="D154:E154"/>
    <mergeCell ref="F154:G154"/>
    <mergeCell ref="AC7:AD7"/>
    <mergeCell ref="AE7:AF7"/>
    <mergeCell ref="AJ5:AO5"/>
    <mergeCell ref="AP5:AU5"/>
    <mergeCell ref="AV5:BA5"/>
    <mergeCell ref="AS7:AU7"/>
    <mergeCell ref="AP154:AR154"/>
    <mergeCell ref="AS154:AU154"/>
    <mergeCell ref="AV7:AX7"/>
    <mergeCell ref="AY7:BA7"/>
    <mergeCell ref="AV154:AX154"/>
    <mergeCell ref="AY154:BA154"/>
    <mergeCell ref="AJ7:AL7"/>
    <mergeCell ref="AM7:AO7"/>
    <mergeCell ref="AJ154:AL154"/>
    <mergeCell ref="AM154:AO154"/>
    <mergeCell ref="AP7:AR7"/>
  </mergeCells>
  <phoneticPr fontId="29" type="noConversion"/>
  <pageMargins left="0.75" right="0.75" top="1" bottom="1" header="0" footer="0"/>
  <pageSetup orientation="portrait"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89D34-C32C-40DA-BC2D-13F684C19E32}">
  <sheetPr codeName="Hoja13"/>
  <dimension ref="A1:S1048570"/>
  <sheetViews>
    <sheetView workbookViewId="0">
      <selection activeCell="H70" sqref="H70"/>
    </sheetView>
  </sheetViews>
  <sheetFormatPr baseColWidth="10" defaultColWidth="11.44140625" defaultRowHeight="13.2" x14ac:dyDescent="0.25"/>
  <cols>
    <col min="1" max="1" width="14.44140625" style="162" customWidth="1"/>
    <col min="2" max="2" width="14.5546875" style="164" bestFit="1" customWidth="1"/>
    <col min="3" max="3" width="14.5546875" style="162" customWidth="1"/>
    <col min="4" max="7" width="13.44140625" style="162" customWidth="1"/>
    <col min="8" max="8" width="11.44140625" style="164"/>
    <col min="9" max="9" width="14.88671875" style="164" customWidth="1"/>
    <col min="10" max="10" width="11.44140625" style="164"/>
    <col min="11" max="11" width="14.44140625" style="162" customWidth="1"/>
    <col min="12" max="12" width="14.5546875" style="164" bestFit="1" customWidth="1"/>
    <col min="13" max="13" width="14.5546875" style="162" customWidth="1"/>
    <col min="14" max="17" width="13.44140625" style="162" customWidth="1"/>
    <col min="18" max="18" width="11.44140625" style="164"/>
    <col min="19" max="19" width="14.88671875" style="164" customWidth="1"/>
    <col min="20" max="16384" width="11.44140625" style="164"/>
  </cols>
  <sheetData>
    <row r="1" spans="1:19" ht="12.75" customHeight="1" x14ac:dyDescent="0.25">
      <c r="H1" s="162"/>
      <c r="I1" s="162"/>
      <c r="R1" s="162"/>
      <c r="S1" s="162"/>
    </row>
    <row r="2" spans="1:19" x14ac:dyDescent="0.25">
      <c r="A2" s="2175" t="s">
        <v>1923</v>
      </c>
      <c r="B2" s="2176"/>
      <c r="C2" s="2176"/>
      <c r="D2" s="2176"/>
      <c r="E2" s="2176"/>
      <c r="F2" s="2176"/>
      <c r="G2" s="2176"/>
      <c r="H2" s="2176"/>
      <c r="I2" s="2177"/>
      <c r="K2" s="2175" t="s">
        <v>1924</v>
      </c>
      <c r="L2" s="2176"/>
      <c r="M2" s="2176"/>
      <c r="N2" s="2176"/>
      <c r="O2" s="2176"/>
      <c r="P2" s="2176"/>
      <c r="Q2" s="2176"/>
      <c r="R2" s="2176"/>
      <c r="S2" s="2177"/>
    </row>
    <row r="3" spans="1:19" x14ac:dyDescent="0.25">
      <c r="A3" s="2178"/>
      <c r="B3" s="2179"/>
      <c r="C3" s="2179"/>
      <c r="D3" s="2179"/>
      <c r="E3" s="2179"/>
      <c r="F3" s="2179"/>
      <c r="G3" s="2179"/>
      <c r="H3" s="2179"/>
      <c r="I3" s="2180"/>
      <c r="K3" s="2178"/>
      <c r="L3" s="2179"/>
      <c r="M3" s="2179"/>
      <c r="N3" s="2179"/>
      <c r="O3" s="2179"/>
      <c r="P3" s="2179"/>
      <c r="Q3" s="2179"/>
      <c r="R3" s="2179"/>
      <c r="S3" s="2180"/>
    </row>
    <row r="4" spans="1:19" ht="12.75" customHeight="1" x14ac:dyDescent="0.25">
      <c r="A4" s="2170" t="s">
        <v>1925</v>
      </c>
      <c r="B4" s="2171"/>
      <c r="C4" s="2171"/>
      <c r="D4" s="2171"/>
      <c r="E4" s="2171"/>
      <c r="F4" s="2171"/>
      <c r="G4" s="2171"/>
      <c r="H4" s="2171"/>
      <c r="I4" s="2171"/>
      <c r="K4" s="2170" t="s">
        <v>1925</v>
      </c>
      <c r="L4" s="2171"/>
      <c r="M4" s="2171"/>
      <c r="N4" s="2171"/>
      <c r="O4" s="2171"/>
      <c r="P4" s="2171"/>
      <c r="Q4" s="2171"/>
      <c r="R4" s="2171"/>
      <c r="S4" s="2171"/>
    </row>
    <row r="5" spans="1:19" ht="26.4" x14ac:dyDescent="0.25">
      <c r="A5" s="77" t="s">
        <v>1926</v>
      </c>
      <c r="B5" s="288" t="s">
        <v>1927</v>
      </c>
      <c r="C5" s="77" t="s">
        <v>1928</v>
      </c>
      <c r="D5" s="1637" t="s">
        <v>1929</v>
      </c>
      <c r="E5" s="1637"/>
      <c r="F5" s="1637"/>
      <c r="G5" s="2172" t="s">
        <v>1930</v>
      </c>
      <c r="H5" s="2173"/>
      <c r="I5" s="2174"/>
      <c r="K5" s="77" t="s">
        <v>1926</v>
      </c>
      <c r="L5" s="288" t="s">
        <v>1927</v>
      </c>
      <c r="M5" s="77" t="s">
        <v>1928</v>
      </c>
      <c r="N5" s="1637" t="s">
        <v>1929</v>
      </c>
      <c r="O5" s="1637"/>
      <c r="P5" s="1637"/>
      <c r="Q5" s="2172" t="s">
        <v>1930</v>
      </c>
      <c r="R5" s="2173"/>
      <c r="S5" s="2174"/>
    </row>
    <row r="6" spans="1:19" x14ac:dyDescent="0.25">
      <c r="A6" s="288"/>
      <c r="B6" s="292"/>
      <c r="C6" s="288"/>
      <c r="D6" s="288" t="s">
        <v>1931</v>
      </c>
      <c r="E6" s="288" t="s">
        <v>1932</v>
      </c>
      <c r="F6" s="288" t="s">
        <v>1933</v>
      </c>
      <c r="G6" s="77" t="s">
        <v>89</v>
      </c>
      <c r="H6" s="284" t="s">
        <v>1934</v>
      </c>
      <c r="I6" s="77" t="s">
        <v>1935</v>
      </c>
      <c r="K6" s="288"/>
      <c r="L6" s="292"/>
      <c r="M6" s="288"/>
      <c r="N6" s="288" t="s">
        <v>1931</v>
      </c>
      <c r="O6" s="288" t="s">
        <v>1932</v>
      </c>
      <c r="P6" s="288" t="s">
        <v>1933</v>
      </c>
      <c r="Q6" s="77" t="s">
        <v>89</v>
      </c>
      <c r="R6" s="284" t="s">
        <v>1934</v>
      </c>
      <c r="S6" s="77" t="s">
        <v>1935</v>
      </c>
    </row>
    <row r="7" spans="1:19" x14ac:dyDescent="0.25">
      <c r="A7" s="288">
        <v>1</v>
      </c>
      <c r="B7" s="287" t="s">
        <v>802</v>
      </c>
      <c r="C7" s="288">
        <v>11.68</v>
      </c>
      <c r="D7" s="295">
        <v>2384.3791999999999</v>
      </c>
      <c r="E7" s="295">
        <v>9149</v>
      </c>
      <c r="F7" s="296">
        <f>+D7+E7</f>
        <v>11533.379199999999</v>
      </c>
      <c r="G7" s="297">
        <v>948.63013698630095</v>
      </c>
      <c r="H7" s="297">
        <f>+F7/C7</f>
        <v>987.44684931506845</v>
      </c>
      <c r="I7" s="297">
        <f>+(F7-0)/(C7-0)</f>
        <v>987.44684931506845</v>
      </c>
      <c r="K7" s="288">
        <v>1</v>
      </c>
      <c r="L7" s="287" t="s">
        <v>802</v>
      </c>
      <c r="M7" s="288">
        <v>11.68</v>
      </c>
      <c r="N7" s="295">
        <v>0</v>
      </c>
      <c r="O7" s="295">
        <v>0</v>
      </c>
      <c r="P7" s="296">
        <f>+N7+O7</f>
        <v>0</v>
      </c>
      <c r="Q7" s="297">
        <v>0</v>
      </c>
      <c r="R7" s="297">
        <f>+P7/M7</f>
        <v>0</v>
      </c>
      <c r="S7" s="297">
        <f>+(P7-0)/(M7-0)</f>
        <v>0</v>
      </c>
    </row>
    <row r="8" spans="1:19" x14ac:dyDescent="0.25">
      <c r="A8" s="288">
        <v>2</v>
      </c>
      <c r="B8" s="287" t="s">
        <v>804</v>
      </c>
      <c r="C8" s="288">
        <v>15.68</v>
      </c>
      <c r="D8" s="295">
        <v>3778.4879999999998</v>
      </c>
      <c r="E8" s="295">
        <v>9149</v>
      </c>
      <c r="F8" s="296">
        <f t="shared" ref="F8:F60" si="0">+D8+E8</f>
        <v>12927.487999999999</v>
      </c>
      <c r="G8" s="297">
        <v>756.63265306122446</v>
      </c>
      <c r="H8" s="297">
        <f>+F8/C8</f>
        <v>824.4571428571428</v>
      </c>
      <c r="I8" s="297">
        <f t="shared" ref="I8:I17" si="1">+(F8-F7)/(C8-C7)</f>
        <v>348.52719999999999</v>
      </c>
      <c r="K8" s="288">
        <v>2</v>
      </c>
      <c r="L8" s="287" t="s">
        <v>804</v>
      </c>
      <c r="M8" s="288">
        <v>15.68</v>
      </c>
      <c r="N8" s="295">
        <v>0</v>
      </c>
      <c r="O8" s="295">
        <v>0</v>
      </c>
      <c r="P8" s="296">
        <f t="shared" ref="P8:P60" si="2">+N8+O8</f>
        <v>0</v>
      </c>
      <c r="Q8" s="297">
        <v>0</v>
      </c>
      <c r="R8" s="297">
        <f>+P8/M8</f>
        <v>0</v>
      </c>
      <c r="S8" s="297">
        <f t="shared" ref="S8:S60" si="3">+(P8-P7)/(M8-M7)</f>
        <v>0</v>
      </c>
    </row>
    <row r="9" spans="1:19" x14ac:dyDescent="0.25">
      <c r="A9" s="288">
        <v>3</v>
      </c>
      <c r="B9" s="287" t="s">
        <v>806</v>
      </c>
      <c r="C9" s="288">
        <v>28.19</v>
      </c>
      <c r="D9" s="295">
        <v>5893.6415999999999</v>
      </c>
      <c r="E9" s="295">
        <v>9149</v>
      </c>
      <c r="F9" s="296">
        <f t="shared" si="0"/>
        <v>15042.641599999999</v>
      </c>
      <c r="G9" s="297">
        <v>486.30720113515429</v>
      </c>
      <c r="H9" s="297">
        <f t="shared" ref="H9:H21" si="4">+F9/C9</f>
        <v>533.61623270663347</v>
      </c>
      <c r="I9" s="297">
        <f t="shared" si="1"/>
        <v>169.07702637889685</v>
      </c>
      <c r="K9" s="288">
        <v>3</v>
      </c>
      <c r="L9" s="287" t="s">
        <v>806</v>
      </c>
      <c r="M9" s="288">
        <v>28.19</v>
      </c>
      <c r="N9" s="295">
        <v>0</v>
      </c>
      <c r="O9" s="295">
        <v>0</v>
      </c>
      <c r="P9" s="296">
        <f t="shared" si="2"/>
        <v>0</v>
      </c>
      <c r="Q9" s="297">
        <v>0</v>
      </c>
      <c r="R9" s="297">
        <f t="shared" ref="R9:R60" si="5">+P9/M9</f>
        <v>0</v>
      </c>
      <c r="S9" s="297">
        <f t="shared" si="3"/>
        <v>0</v>
      </c>
    </row>
    <row r="10" spans="1:19" x14ac:dyDescent="0.25">
      <c r="A10" s="288">
        <v>4</v>
      </c>
      <c r="B10" s="287" t="s">
        <v>808</v>
      </c>
      <c r="C10" s="288">
        <v>38.06</v>
      </c>
      <c r="D10" s="295">
        <v>9075.0352000000003</v>
      </c>
      <c r="E10" s="295">
        <v>17467</v>
      </c>
      <c r="F10" s="296">
        <f t="shared" si="0"/>
        <v>26542.035199999998</v>
      </c>
      <c r="G10" s="297">
        <v>633.52601156069363</v>
      </c>
      <c r="H10" s="297">
        <f t="shared" si="4"/>
        <v>697.37349448239615</v>
      </c>
      <c r="I10" s="297">
        <f t="shared" si="1"/>
        <v>1165.08547112462</v>
      </c>
      <c r="K10" s="288">
        <v>4</v>
      </c>
      <c r="L10" s="287" t="s">
        <v>808</v>
      </c>
      <c r="M10" s="288">
        <v>38.06</v>
      </c>
      <c r="N10" s="295">
        <v>6645</v>
      </c>
      <c r="O10" s="295">
        <v>17467</v>
      </c>
      <c r="P10" s="296">
        <f t="shared" si="2"/>
        <v>24112</v>
      </c>
      <c r="Q10" s="297">
        <v>633.52601156069363</v>
      </c>
      <c r="R10" s="297">
        <f t="shared" si="5"/>
        <v>633.52601156069363</v>
      </c>
      <c r="S10" s="297">
        <f t="shared" si="3"/>
        <v>2442.9584599797363</v>
      </c>
    </row>
    <row r="11" spans="1:19" x14ac:dyDescent="0.25">
      <c r="A11" s="288">
        <v>5</v>
      </c>
      <c r="B11" s="287" t="s">
        <v>810</v>
      </c>
      <c r="C11" s="288">
        <v>52.52</v>
      </c>
      <c r="D11" s="295">
        <v>14671.4624</v>
      </c>
      <c r="E11" s="295">
        <v>17467</v>
      </c>
      <c r="F11" s="296">
        <f t="shared" si="0"/>
        <v>32138.4624</v>
      </c>
      <c r="G11" s="297">
        <v>515.36557501904031</v>
      </c>
      <c r="H11" s="297">
        <f t="shared" si="4"/>
        <v>611.92807311500383</v>
      </c>
      <c r="I11" s="297">
        <f t="shared" si="1"/>
        <v>387.02816044260038</v>
      </c>
      <c r="K11" s="288">
        <v>5</v>
      </c>
      <c r="L11" s="287" t="s">
        <v>810</v>
      </c>
      <c r="M11" s="288">
        <v>52.52</v>
      </c>
      <c r="N11" s="295">
        <v>9600</v>
      </c>
      <c r="O11" s="295">
        <v>17467</v>
      </c>
      <c r="P11" s="296">
        <f t="shared" si="2"/>
        <v>27067</v>
      </c>
      <c r="Q11" s="297">
        <v>515.36557501904031</v>
      </c>
      <c r="R11" s="297">
        <f t="shared" si="5"/>
        <v>515.36557501904031</v>
      </c>
      <c r="S11" s="297">
        <f t="shared" si="3"/>
        <v>204.35684647302904</v>
      </c>
    </row>
    <row r="12" spans="1:19" x14ac:dyDescent="0.25">
      <c r="A12" s="288">
        <v>6</v>
      </c>
      <c r="B12" s="287" t="s">
        <v>609</v>
      </c>
      <c r="C12" s="288">
        <v>73.94</v>
      </c>
      <c r="D12" s="295">
        <v>22169.7952</v>
      </c>
      <c r="E12" s="295">
        <v>17467</v>
      </c>
      <c r="F12" s="296">
        <f t="shared" si="0"/>
        <v>39636.7952</v>
      </c>
      <c r="G12" s="297">
        <v>428.14444143900459</v>
      </c>
      <c r="H12" s="297">
        <f t="shared" si="4"/>
        <v>536.06701649986474</v>
      </c>
      <c r="I12" s="297">
        <f t="shared" si="1"/>
        <v>350.06222222222232</v>
      </c>
      <c r="K12" s="288">
        <v>6</v>
      </c>
      <c r="L12" s="287" t="s">
        <v>609</v>
      </c>
      <c r="M12" s="288">
        <v>73.94</v>
      </c>
      <c r="N12" s="295">
        <v>14190</v>
      </c>
      <c r="O12" s="295">
        <v>17467</v>
      </c>
      <c r="P12" s="296">
        <f t="shared" si="2"/>
        <v>31657</v>
      </c>
      <c r="Q12" s="297">
        <v>428.14444143900459</v>
      </c>
      <c r="R12" s="297">
        <f t="shared" si="5"/>
        <v>428.14444143900459</v>
      </c>
      <c r="S12" s="297">
        <f t="shared" si="3"/>
        <v>214.28571428571433</v>
      </c>
    </row>
    <row r="13" spans="1:19" x14ac:dyDescent="0.25">
      <c r="A13" s="288">
        <v>7</v>
      </c>
      <c r="B13" s="287" t="s">
        <v>598</v>
      </c>
      <c r="C13" s="288">
        <v>117.7</v>
      </c>
      <c r="D13" s="295">
        <v>36274.817600000002</v>
      </c>
      <c r="E13" s="295">
        <v>29908</v>
      </c>
      <c r="F13" s="296">
        <f t="shared" si="0"/>
        <v>66182.817600000009</v>
      </c>
      <c r="G13" s="297">
        <v>437.06881903143585</v>
      </c>
      <c r="H13" s="297">
        <f t="shared" si="4"/>
        <v>562.30091418861514</v>
      </c>
      <c r="I13" s="297">
        <f t="shared" si="1"/>
        <v>606.62756855575878</v>
      </c>
      <c r="K13" s="288">
        <v>7</v>
      </c>
      <c r="L13" s="287" t="s">
        <v>598</v>
      </c>
      <c r="M13" s="288">
        <v>117.7</v>
      </c>
      <c r="N13" s="295">
        <v>21535</v>
      </c>
      <c r="O13" s="295">
        <v>29908</v>
      </c>
      <c r="P13" s="296">
        <f t="shared" si="2"/>
        <v>51443</v>
      </c>
      <c r="Q13" s="297">
        <v>437.06881903143585</v>
      </c>
      <c r="R13" s="297">
        <f t="shared" si="5"/>
        <v>437.06881903143585</v>
      </c>
      <c r="S13" s="297">
        <f t="shared" si="3"/>
        <v>452.14808043875678</v>
      </c>
    </row>
    <row r="14" spans="1:19" x14ac:dyDescent="0.25">
      <c r="A14" s="288">
        <v>8</v>
      </c>
      <c r="B14" s="287" t="s">
        <v>814</v>
      </c>
      <c r="C14" s="288">
        <v>141.30000000000001</v>
      </c>
      <c r="D14" s="295">
        <v>45785.678400000004</v>
      </c>
      <c r="E14" s="295">
        <v>29908</v>
      </c>
      <c r="F14" s="296">
        <f t="shared" si="0"/>
        <v>75693.678400000004</v>
      </c>
      <c r="G14" s="297">
        <v>398.74734607218682</v>
      </c>
      <c r="H14" s="297">
        <f t="shared" si="4"/>
        <v>535.69482236376507</v>
      </c>
      <c r="I14" s="297">
        <f t="shared" si="1"/>
        <v>403.00257627118606</v>
      </c>
      <c r="K14" s="288">
        <v>8</v>
      </c>
      <c r="L14" s="287" t="s">
        <v>814</v>
      </c>
      <c r="M14" s="288">
        <v>141.30000000000001</v>
      </c>
      <c r="N14" s="295">
        <v>26435</v>
      </c>
      <c r="O14" s="295">
        <v>29908</v>
      </c>
      <c r="P14" s="296">
        <f t="shared" si="2"/>
        <v>56343</v>
      </c>
      <c r="Q14" s="297">
        <v>398.74734607218682</v>
      </c>
      <c r="R14" s="297">
        <f t="shared" si="5"/>
        <v>398.74734607218682</v>
      </c>
      <c r="S14" s="297">
        <f t="shared" si="3"/>
        <v>207.62711864406774</v>
      </c>
    </row>
    <row r="15" spans="1:19" x14ac:dyDescent="0.25">
      <c r="A15" s="288">
        <v>9</v>
      </c>
      <c r="B15" s="287" t="s">
        <v>816</v>
      </c>
      <c r="C15" s="288">
        <v>170.5</v>
      </c>
      <c r="D15" s="295">
        <v>57908.8272</v>
      </c>
      <c r="E15" s="295">
        <v>29908</v>
      </c>
      <c r="F15" s="296">
        <f t="shared" si="0"/>
        <v>87816.8272</v>
      </c>
      <c r="G15" s="297">
        <v>370.73607038123168</v>
      </c>
      <c r="H15" s="297">
        <f t="shared" si="4"/>
        <v>515.05470498533725</v>
      </c>
      <c r="I15" s="297">
        <f t="shared" si="1"/>
        <v>415.17632876712327</v>
      </c>
      <c r="K15" s="288">
        <v>9</v>
      </c>
      <c r="L15" s="287" t="s">
        <v>816</v>
      </c>
      <c r="M15" s="288">
        <v>170.5</v>
      </c>
      <c r="N15" s="295">
        <v>33302.5</v>
      </c>
      <c r="O15" s="295">
        <v>29908</v>
      </c>
      <c r="P15" s="296">
        <f t="shared" si="2"/>
        <v>63210.5</v>
      </c>
      <c r="Q15" s="297">
        <v>370.73607038123168</v>
      </c>
      <c r="R15" s="297">
        <f t="shared" si="5"/>
        <v>370.73607038123168</v>
      </c>
      <c r="S15" s="297">
        <f t="shared" si="3"/>
        <v>235.18835616438366</v>
      </c>
    </row>
    <row r="16" spans="1:19" x14ac:dyDescent="0.25">
      <c r="A16" s="288">
        <v>10</v>
      </c>
      <c r="B16" s="287" t="s">
        <v>818</v>
      </c>
      <c r="C16" s="288">
        <v>206.3</v>
      </c>
      <c r="D16" s="295">
        <v>70582.42240000001</v>
      </c>
      <c r="E16" s="295">
        <v>29908</v>
      </c>
      <c r="F16" s="296">
        <f t="shared" si="0"/>
        <v>100490.42240000001</v>
      </c>
      <c r="G16" s="297">
        <v>339.68977217644203</v>
      </c>
      <c r="H16" s="297">
        <f t="shared" si="4"/>
        <v>487.10820358700926</v>
      </c>
      <c r="I16" s="297">
        <f t="shared" si="1"/>
        <v>354.01103910614546</v>
      </c>
      <c r="K16" s="288">
        <v>10</v>
      </c>
      <c r="L16" s="287" t="s">
        <v>818</v>
      </c>
      <c r="M16" s="288">
        <v>206.3</v>
      </c>
      <c r="N16" s="295">
        <v>40170</v>
      </c>
      <c r="O16" s="295">
        <v>29908</v>
      </c>
      <c r="P16" s="296">
        <f t="shared" si="2"/>
        <v>70078</v>
      </c>
      <c r="Q16" s="297">
        <v>339.68977217644203</v>
      </c>
      <c r="R16" s="297">
        <f t="shared" si="5"/>
        <v>339.68977217644203</v>
      </c>
      <c r="S16" s="297">
        <f t="shared" si="3"/>
        <v>191.82960893854744</v>
      </c>
    </row>
    <row r="17" spans="1:19" x14ac:dyDescent="0.25">
      <c r="A17" s="288">
        <v>11</v>
      </c>
      <c r="B17" s="287" t="s">
        <v>964</v>
      </c>
      <c r="C17" s="288">
        <v>251.9</v>
      </c>
      <c r="D17" s="295">
        <v>86097.547200000001</v>
      </c>
      <c r="E17" s="295">
        <v>60769</v>
      </c>
      <c r="F17" s="296">
        <f t="shared" si="0"/>
        <v>146866.5472</v>
      </c>
      <c r="G17" s="297">
        <v>436.0023818975784</v>
      </c>
      <c r="H17" s="297">
        <f t="shared" si="4"/>
        <v>583.03512187375941</v>
      </c>
      <c r="I17" s="297">
        <f t="shared" si="1"/>
        <v>1017.0202807017544</v>
      </c>
      <c r="K17" s="288">
        <v>11</v>
      </c>
      <c r="L17" s="287" t="s">
        <v>964</v>
      </c>
      <c r="M17" s="288">
        <v>251.9</v>
      </c>
      <c r="N17" s="295">
        <v>49060</v>
      </c>
      <c r="O17" s="295">
        <v>60769</v>
      </c>
      <c r="P17" s="296">
        <f t="shared" si="2"/>
        <v>109829</v>
      </c>
      <c r="Q17" s="297">
        <v>436.0023818975784</v>
      </c>
      <c r="R17" s="297">
        <f t="shared" si="5"/>
        <v>436.0023818975784</v>
      </c>
      <c r="S17" s="297">
        <f t="shared" si="3"/>
        <v>871.73245614035102</v>
      </c>
    </row>
    <row r="18" spans="1:19" x14ac:dyDescent="0.25">
      <c r="A18" s="288">
        <v>12</v>
      </c>
      <c r="B18" s="287" t="s">
        <v>965</v>
      </c>
      <c r="C18" s="288">
        <v>333.3</v>
      </c>
      <c r="D18" s="295">
        <v>121701.96640000002</v>
      </c>
      <c r="E18" s="295">
        <v>60769</v>
      </c>
      <c r="F18" s="296">
        <f t="shared" si="0"/>
        <v>182470.96640000003</v>
      </c>
      <c r="G18" s="297">
        <v>383.79537953795381</v>
      </c>
      <c r="H18" s="297">
        <f t="shared" si="4"/>
        <v>547.4676459645965</v>
      </c>
      <c r="I18" s="297">
        <f>+(F18-F17)/(C18-C17)</f>
        <v>437.40072727272764</v>
      </c>
      <c r="K18" s="288">
        <v>12</v>
      </c>
      <c r="L18" s="287" t="s">
        <v>965</v>
      </c>
      <c r="M18" s="288">
        <v>333.3</v>
      </c>
      <c r="N18" s="295">
        <v>67150</v>
      </c>
      <c r="O18" s="295">
        <v>60769</v>
      </c>
      <c r="P18" s="296">
        <f t="shared" si="2"/>
        <v>127919</v>
      </c>
      <c r="Q18" s="297">
        <v>383.79537953795381</v>
      </c>
      <c r="R18" s="297">
        <f t="shared" si="5"/>
        <v>383.79537953795381</v>
      </c>
      <c r="S18" s="297">
        <f t="shared" si="3"/>
        <v>222.23587223587222</v>
      </c>
    </row>
    <row r="19" spans="1:19" x14ac:dyDescent="0.25">
      <c r="A19" s="288">
        <v>13</v>
      </c>
      <c r="B19" s="287" t="s">
        <v>966</v>
      </c>
      <c r="C19" s="288">
        <v>450.3</v>
      </c>
      <c r="D19" s="295">
        <v>168843.1024</v>
      </c>
      <c r="E19" s="295">
        <v>60769</v>
      </c>
      <c r="F19" s="296">
        <f t="shared" si="0"/>
        <v>229612.1024</v>
      </c>
      <c r="G19" s="297">
        <v>344.81234732400623</v>
      </c>
      <c r="H19" s="297">
        <f t="shared" si="4"/>
        <v>509.90917699311569</v>
      </c>
      <c r="I19" s="297">
        <f>+(F19-F18)/(C19-C18)</f>
        <v>402.91569230769204</v>
      </c>
      <c r="K19" s="288">
        <v>13</v>
      </c>
      <c r="L19" s="287" t="s">
        <v>966</v>
      </c>
      <c r="M19" s="288">
        <v>450.3</v>
      </c>
      <c r="N19" s="295">
        <v>94500</v>
      </c>
      <c r="O19" s="295">
        <v>60769</v>
      </c>
      <c r="P19" s="296">
        <f t="shared" si="2"/>
        <v>155269</v>
      </c>
      <c r="Q19" s="297">
        <v>344.81234732400623</v>
      </c>
      <c r="R19" s="297">
        <f t="shared" si="5"/>
        <v>344.81234732400623</v>
      </c>
      <c r="S19" s="297">
        <f t="shared" si="3"/>
        <v>233.76068376068375</v>
      </c>
    </row>
    <row r="20" spans="1:19" x14ac:dyDescent="0.25">
      <c r="A20" s="288">
        <v>14</v>
      </c>
      <c r="B20" s="287" t="s">
        <v>967</v>
      </c>
      <c r="C20" s="288">
        <v>679.5</v>
      </c>
      <c r="D20" s="295">
        <v>256380.34336</v>
      </c>
      <c r="E20" s="295">
        <v>60769</v>
      </c>
      <c r="F20" s="296">
        <f t="shared" si="0"/>
        <v>317149.34336</v>
      </c>
      <c r="G20" s="297">
        <v>283.177336276674</v>
      </c>
      <c r="H20" s="297">
        <f t="shared" si="4"/>
        <v>466.7392838263429</v>
      </c>
      <c r="I20" s="297">
        <f>+(F20-F19)/(C20-C19)</f>
        <v>381.92513507853403</v>
      </c>
      <c r="K20" s="288">
        <v>14</v>
      </c>
      <c r="L20" s="287" t="s">
        <v>967</v>
      </c>
      <c r="M20" s="288">
        <v>679.5</v>
      </c>
      <c r="N20" s="295">
        <v>131650</v>
      </c>
      <c r="O20" s="295">
        <v>60769</v>
      </c>
      <c r="P20" s="296">
        <f t="shared" si="2"/>
        <v>192419</v>
      </c>
      <c r="Q20" s="297">
        <v>283.177336276674</v>
      </c>
      <c r="R20" s="297">
        <f t="shared" si="5"/>
        <v>283.177336276674</v>
      </c>
      <c r="S20" s="297">
        <f t="shared" si="3"/>
        <v>162.08551483420595</v>
      </c>
    </row>
    <row r="21" spans="1:19" x14ac:dyDescent="0.25">
      <c r="A21" s="288">
        <v>15</v>
      </c>
      <c r="B21" s="287" t="s">
        <v>968</v>
      </c>
      <c r="C21" s="288">
        <v>872.2</v>
      </c>
      <c r="D21" s="295">
        <v>430932.48070399999</v>
      </c>
      <c r="E21" s="295">
        <v>60769</v>
      </c>
      <c r="F21" s="296">
        <f t="shared" si="0"/>
        <v>491701.48070399999</v>
      </c>
      <c r="G21" s="297">
        <v>328.96010089429029</v>
      </c>
      <c r="H21" s="297">
        <f t="shared" si="4"/>
        <v>563.74854471910112</v>
      </c>
      <c r="I21" s="297">
        <f>+(F21-F20)/(C21-C20)</f>
        <v>905.82323478982846</v>
      </c>
      <c r="K21" s="288">
        <v>15</v>
      </c>
      <c r="L21" s="287" t="s">
        <v>968</v>
      </c>
      <c r="M21" s="288">
        <v>872.2</v>
      </c>
      <c r="N21" s="295">
        <v>226150</v>
      </c>
      <c r="O21" s="295">
        <v>60769</v>
      </c>
      <c r="P21" s="296">
        <f t="shared" si="2"/>
        <v>286919</v>
      </c>
      <c r="Q21" s="297">
        <v>328.96010089429029</v>
      </c>
      <c r="R21" s="297">
        <f t="shared" si="5"/>
        <v>328.96010089429029</v>
      </c>
      <c r="S21" s="297">
        <f t="shared" si="3"/>
        <v>490.39958484691221</v>
      </c>
    </row>
    <row r="22" spans="1:19" x14ac:dyDescent="0.25">
      <c r="A22" s="288">
        <v>16</v>
      </c>
      <c r="B22" s="287">
        <v>12</v>
      </c>
      <c r="C22" s="293">
        <v>65.038821910942687</v>
      </c>
      <c r="D22" s="295">
        <v>3741</v>
      </c>
      <c r="E22" s="295">
        <v>10602</v>
      </c>
      <c r="F22" s="296">
        <f t="shared" si="0"/>
        <v>14343</v>
      </c>
      <c r="G22" s="297">
        <v>220.52982478126361</v>
      </c>
      <c r="H22" s="297">
        <f t="shared" ref="H22:H60" si="6">+F22/C22</f>
        <v>220.52982478126361</v>
      </c>
      <c r="I22" s="297">
        <f t="shared" ref="I22:I60" si="7">+(F22-F21)/(C22-C21)</f>
        <v>591.40416271523293</v>
      </c>
      <c r="K22" s="288">
        <v>16</v>
      </c>
      <c r="L22" s="287">
        <v>12</v>
      </c>
      <c r="M22" s="293">
        <v>65.038821910942687</v>
      </c>
      <c r="N22" s="295">
        <v>0</v>
      </c>
      <c r="O22" s="295">
        <v>0</v>
      </c>
      <c r="P22" s="296">
        <f t="shared" si="2"/>
        <v>0</v>
      </c>
      <c r="Q22" s="297">
        <v>0</v>
      </c>
      <c r="R22" s="297">
        <f t="shared" si="5"/>
        <v>0</v>
      </c>
      <c r="S22" s="297">
        <f t="shared" si="3"/>
        <v>355.46679868731627</v>
      </c>
    </row>
    <row r="23" spans="1:19" x14ac:dyDescent="0.25">
      <c r="A23" s="288">
        <v>17</v>
      </c>
      <c r="B23" s="287">
        <v>12</v>
      </c>
      <c r="C23" s="293">
        <v>72.382294738708836</v>
      </c>
      <c r="D23" s="295">
        <v>4774</v>
      </c>
      <c r="E23" s="295">
        <v>16525</v>
      </c>
      <c r="F23" s="296">
        <f t="shared" si="0"/>
        <v>21299</v>
      </c>
      <c r="G23" s="297">
        <v>294.2570427876978</v>
      </c>
      <c r="H23" s="297">
        <f t="shared" si="6"/>
        <v>294.2570427876978</v>
      </c>
      <c r="I23" s="297">
        <f t="shared" si="7"/>
        <v>947.23575114200878</v>
      </c>
      <c r="K23" s="288">
        <v>17</v>
      </c>
      <c r="L23" s="287">
        <v>12</v>
      </c>
      <c r="M23" s="293">
        <v>72.382294738708836</v>
      </c>
      <c r="N23" s="295">
        <v>0</v>
      </c>
      <c r="O23" s="295">
        <v>0</v>
      </c>
      <c r="P23" s="296">
        <f t="shared" si="2"/>
        <v>0</v>
      </c>
      <c r="Q23" s="297">
        <v>0</v>
      </c>
      <c r="R23" s="297">
        <f t="shared" si="5"/>
        <v>0</v>
      </c>
      <c r="S23" s="297">
        <f t="shared" si="3"/>
        <v>0</v>
      </c>
    </row>
    <row r="24" spans="1:19" x14ac:dyDescent="0.25">
      <c r="A24" s="288">
        <v>18</v>
      </c>
      <c r="B24" s="287">
        <v>12</v>
      </c>
      <c r="C24" s="293">
        <v>86.59014751456867</v>
      </c>
      <c r="D24" s="295">
        <v>5873</v>
      </c>
      <c r="E24" s="295">
        <v>17651</v>
      </c>
      <c r="F24" s="296">
        <f t="shared" si="0"/>
        <v>23524</v>
      </c>
      <c r="G24" s="297">
        <v>271.67063084217659</v>
      </c>
      <c r="H24" s="297">
        <f t="shared" si="6"/>
        <v>271.67063084217659</v>
      </c>
      <c r="I24" s="297">
        <f t="shared" si="7"/>
        <v>156.60353714957094</v>
      </c>
      <c r="K24" s="288">
        <v>18</v>
      </c>
      <c r="L24" s="287">
        <v>12</v>
      </c>
      <c r="M24" s="293">
        <v>86.59014751456867</v>
      </c>
      <c r="N24" s="295">
        <v>0</v>
      </c>
      <c r="O24" s="295">
        <v>0</v>
      </c>
      <c r="P24" s="296">
        <f t="shared" si="2"/>
        <v>0</v>
      </c>
      <c r="Q24" s="297">
        <v>0</v>
      </c>
      <c r="R24" s="297">
        <f t="shared" si="5"/>
        <v>0</v>
      </c>
      <c r="S24" s="297">
        <f t="shared" si="3"/>
        <v>0</v>
      </c>
    </row>
    <row r="25" spans="1:19" x14ac:dyDescent="0.25">
      <c r="A25" s="288">
        <v>19</v>
      </c>
      <c r="B25" s="287">
        <v>10</v>
      </c>
      <c r="C25" s="293">
        <v>91.608841778678382</v>
      </c>
      <c r="D25" s="295">
        <v>5055</v>
      </c>
      <c r="E25" s="295">
        <v>10602</v>
      </c>
      <c r="F25" s="296">
        <f t="shared" si="0"/>
        <v>15657</v>
      </c>
      <c r="G25" s="297">
        <v>170.91145020506207</v>
      </c>
      <c r="H25" s="297">
        <f t="shared" si="6"/>
        <v>170.91145020506207</v>
      </c>
      <c r="I25" s="297">
        <f t="shared" si="7"/>
        <v>-1567.5392016324711</v>
      </c>
      <c r="K25" s="288">
        <v>19</v>
      </c>
      <c r="L25" s="287">
        <v>10</v>
      </c>
      <c r="M25" s="293">
        <v>91.608841778678382</v>
      </c>
      <c r="N25" s="295">
        <v>0</v>
      </c>
      <c r="O25" s="295">
        <v>0</v>
      </c>
      <c r="P25" s="296">
        <f t="shared" si="2"/>
        <v>0</v>
      </c>
      <c r="Q25" s="297">
        <v>0</v>
      </c>
      <c r="R25" s="297">
        <f t="shared" si="5"/>
        <v>0</v>
      </c>
      <c r="S25" s="297">
        <f t="shared" si="3"/>
        <v>0</v>
      </c>
    </row>
    <row r="26" spans="1:19" x14ac:dyDescent="0.25">
      <c r="A26" s="288">
        <v>20</v>
      </c>
      <c r="B26" s="287">
        <v>10</v>
      </c>
      <c r="C26" s="293">
        <v>103.86890710931253</v>
      </c>
      <c r="D26" s="295">
        <v>6713</v>
      </c>
      <c r="E26" s="295">
        <v>16525</v>
      </c>
      <c r="F26" s="296">
        <f t="shared" si="0"/>
        <v>23238</v>
      </c>
      <c r="G26" s="297">
        <v>223.72431410628138</v>
      </c>
      <c r="H26" s="297">
        <f t="shared" si="6"/>
        <v>223.72431410628138</v>
      </c>
      <c r="I26" s="297">
        <f t="shared" si="7"/>
        <v>618.34907038035135</v>
      </c>
      <c r="K26" s="288">
        <v>20</v>
      </c>
      <c r="L26" s="287">
        <v>10</v>
      </c>
      <c r="M26" s="293">
        <v>103.86890710931253</v>
      </c>
      <c r="N26" s="295">
        <v>0</v>
      </c>
      <c r="O26" s="295">
        <v>0</v>
      </c>
      <c r="P26" s="296">
        <f t="shared" si="2"/>
        <v>0</v>
      </c>
      <c r="Q26" s="297">
        <v>0</v>
      </c>
      <c r="R26" s="297">
        <f t="shared" si="5"/>
        <v>0</v>
      </c>
      <c r="S26" s="297">
        <f t="shared" si="3"/>
        <v>0</v>
      </c>
    </row>
    <row r="27" spans="1:19" x14ac:dyDescent="0.25">
      <c r="A27" s="288">
        <v>21</v>
      </c>
      <c r="B27" s="287">
        <v>10</v>
      </c>
      <c r="C27" s="293">
        <v>122.7184630308513</v>
      </c>
      <c r="D27" s="295">
        <v>8324</v>
      </c>
      <c r="E27" s="295">
        <v>17651</v>
      </c>
      <c r="F27" s="296">
        <f t="shared" si="0"/>
        <v>25975</v>
      </c>
      <c r="G27" s="297">
        <v>211.66334191677345</v>
      </c>
      <c r="H27" s="297">
        <f t="shared" si="6"/>
        <v>211.66334191677345</v>
      </c>
      <c r="I27" s="297">
        <f t="shared" si="7"/>
        <v>145.2023597475058</v>
      </c>
      <c r="K27" s="288">
        <v>21</v>
      </c>
      <c r="L27" s="287">
        <v>10</v>
      </c>
      <c r="M27" s="293">
        <v>122.7184630308513</v>
      </c>
      <c r="N27" s="295">
        <v>0</v>
      </c>
      <c r="O27" s="295">
        <v>0</v>
      </c>
      <c r="P27" s="296">
        <f t="shared" si="2"/>
        <v>0</v>
      </c>
      <c r="Q27" s="297">
        <v>0</v>
      </c>
      <c r="R27" s="297">
        <f t="shared" si="5"/>
        <v>0</v>
      </c>
      <c r="S27" s="297">
        <f t="shared" si="3"/>
        <v>0</v>
      </c>
    </row>
    <row r="28" spans="1:19" x14ac:dyDescent="0.25">
      <c r="A28" s="288">
        <v>22</v>
      </c>
      <c r="B28" s="287">
        <v>8</v>
      </c>
      <c r="C28" s="293">
        <v>158.36768566746147</v>
      </c>
      <c r="D28" s="295">
        <v>8242</v>
      </c>
      <c r="E28" s="295">
        <v>10602</v>
      </c>
      <c r="F28" s="296">
        <f t="shared" si="0"/>
        <v>18844</v>
      </c>
      <c r="G28" s="297">
        <v>118.98892075475801</v>
      </c>
      <c r="H28" s="297">
        <f t="shared" si="6"/>
        <v>118.98892075475801</v>
      </c>
      <c r="I28" s="297">
        <f t="shared" si="7"/>
        <v>-200.03241228258307</v>
      </c>
      <c r="K28" s="288">
        <v>22</v>
      </c>
      <c r="L28" s="287">
        <v>8</v>
      </c>
      <c r="M28" s="293">
        <v>158.36768566746147</v>
      </c>
      <c r="N28" s="295">
        <v>0</v>
      </c>
      <c r="O28" s="295">
        <v>0</v>
      </c>
      <c r="P28" s="296">
        <f t="shared" si="2"/>
        <v>0</v>
      </c>
      <c r="Q28" s="297">
        <v>0</v>
      </c>
      <c r="R28" s="297">
        <f t="shared" si="5"/>
        <v>0</v>
      </c>
      <c r="S28" s="297">
        <f t="shared" si="3"/>
        <v>0</v>
      </c>
    </row>
    <row r="29" spans="1:19" x14ac:dyDescent="0.25">
      <c r="A29" s="288">
        <v>23</v>
      </c>
      <c r="B29" s="287">
        <v>8</v>
      </c>
      <c r="C29" s="293">
        <v>179.07863523625218</v>
      </c>
      <c r="D29" s="295">
        <v>10558</v>
      </c>
      <c r="E29" s="295">
        <v>16525</v>
      </c>
      <c r="F29" s="296">
        <f t="shared" si="0"/>
        <v>27083</v>
      </c>
      <c r="G29" s="297">
        <v>151.23523788457706</v>
      </c>
      <c r="H29" s="297">
        <f t="shared" si="6"/>
        <v>151.23523788457706</v>
      </c>
      <c r="I29" s="297">
        <f t="shared" si="7"/>
        <v>397.80889681733055</v>
      </c>
      <c r="K29" s="288">
        <v>23</v>
      </c>
      <c r="L29" s="287">
        <v>8</v>
      </c>
      <c r="M29" s="293">
        <v>179.07863523625218</v>
      </c>
      <c r="N29" s="295">
        <v>0</v>
      </c>
      <c r="O29" s="295">
        <v>0</v>
      </c>
      <c r="P29" s="296">
        <f t="shared" si="2"/>
        <v>0</v>
      </c>
      <c r="Q29" s="297">
        <v>0</v>
      </c>
      <c r="R29" s="297">
        <f t="shared" si="5"/>
        <v>0</v>
      </c>
      <c r="S29" s="297">
        <f t="shared" si="3"/>
        <v>0</v>
      </c>
    </row>
    <row r="30" spans="1:19" x14ac:dyDescent="0.25">
      <c r="A30" s="288">
        <v>24</v>
      </c>
      <c r="B30" s="287">
        <v>8</v>
      </c>
      <c r="C30" s="293">
        <v>213.8246499849553</v>
      </c>
      <c r="D30" s="295">
        <v>14472</v>
      </c>
      <c r="E30" s="295">
        <v>17651</v>
      </c>
      <c r="F30" s="296">
        <f t="shared" si="0"/>
        <v>32123</v>
      </c>
      <c r="G30" s="297">
        <v>150.23057445556523</v>
      </c>
      <c r="H30" s="297">
        <f t="shared" si="6"/>
        <v>150.23057445556523</v>
      </c>
      <c r="I30" s="297">
        <f t="shared" si="7"/>
        <v>145.05260636223372</v>
      </c>
      <c r="K30" s="288">
        <v>24</v>
      </c>
      <c r="L30" s="287">
        <v>8</v>
      </c>
      <c r="M30" s="293">
        <v>213.8246499849553</v>
      </c>
      <c r="N30" s="295">
        <v>0</v>
      </c>
      <c r="O30" s="295">
        <v>0</v>
      </c>
      <c r="P30" s="296">
        <f t="shared" si="2"/>
        <v>0</v>
      </c>
      <c r="Q30" s="297">
        <v>0</v>
      </c>
      <c r="R30" s="297">
        <f t="shared" si="5"/>
        <v>0</v>
      </c>
      <c r="S30" s="297">
        <f t="shared" si="3"/>
        <v>0</v>
      </c>
    </row>
    <row r="31" spans="1:19" x14ac:dyDescent="0.25">
      <c r="A31" s="288">
        <v>25</v>
      </c>
      <c r="B31" s="287">
        <v>6</v>
      </c>
      <c r="C31" s="293">
        <v>203.58305793425259</v>
      </c>
      <c r="D31" s="295">
        <v>12626</v>
      </c>
      <c r="E31" s="295">
        <v>19302</v>
      </c>
      <c r="F31" s="296">
        <f t="shared" si="0"/>
        <v>31928</v>
      </c>
      <c r="G31" s="297">
        <v>156.83033904673536</v>
      </c>
      <c r="H31" s="297">
        <f t="shared" si="6"/>
        <v>156.83033904673536</v>
      </c>
      <c r="I31" s="297">
        <f t="shared" si="7"/>
        <v>19.040008529398559</v>
      </c>
      <c r="K31" s="288">
        <v>25</v>
      </c>
      <c r="L31" s="287">
        <v>6</v>
      </c>
      <c r="M31" s="293">
        <v>203.58305793425259</v>
      </c>
      <c r="N31" s="295">
        <v>0</v>
      </c>
      <c r="O31" s="295">
        <v>0</v>
      </c>
      <c r="P31" s="296">
        <f t="shared" si="2"/>
        <v>0</v>
      </c>
      <c r="Q31" s="297">
        <v>0</v>
      </c>
      <c r="R31" s="297">
        <f t="shared" si="5"/>
        <v>0</v>
      </c>
      <c r="S31" s="297">
        <f t="shared" si="3"/>
        <v>0</v>
      </c>
    </row>
    <row r="32" spans="1:19" x14ac:dyDescent="0.25">
      <c r="A32" s="288">
        <v>26</v>
      </c>
      <c r="B32" s="287">
        <v>6</v>
      </c>
      <c r="C32" s="293">
        <v>229.65827695904787</v>
      </c>
      <c r="D32" s="295">
        <v>17177</v>
      </c>
      <c r="E32" s="295">
        <v>20953</v>
      </c>
      <c r="F32" s="296">
        <f t="shared" si="0"/>
        <v>38130</v>
      </c>
      <c r="G32" s="297">
        <v>166.02928709945539</v>
      </c>
      <c r="H32" s="297">
        <f t="shared" si="6"/>
        <v>166.02928709945539</v>
      </c>
      <c r="I32" s="297">
        <f t="shared" si="7"/>
        <v>237.85035109781572</v>
      </c>
      <c r="K32" s="288">
        <v>26</v>
      </c>
      <c r="L32" s="287">
        <v>6</v>
      </c>
      <c r="M32" s="293">
        <v>229.65827695904787</v>
      </c>
      <c r="N32" s="295">
        <v>0</v>
      </c>
      <c r="O32" s="295">
        <v>0</v>
      </c>
      <c r="P32" s="296">
        <f t="shared" si="2"/>
        <v>0</v>
      </c>
      <c r="Q32" s="297">
        <v>0</v>
      </c>
      <c r="R32" s="297">
        <f t="shared" si="5"/>
        <v>0</v>
      </c>
      <c r="S32" s="297">
        <f t="shared" si="3"/>
        <v>0</v>
      </c>
    </row>
    <row r="33" spans="1:19" x14ac:dyDescent="0.25">
      <c r="A33" s="288">
        <v>27</v>
      </c>
      <c r="B33" s="287">
        <v>6</v>
      </c>
      <c r="C33" s="293">
        <v>277.59112687119415</v>
      </c>
      <c r="D33" s="295">
        <v>22133</v>
      </c>
      <c r="E33" s="295">
        <v>28425</v>
      </c>
      <c r="F33" s="296">
        <f t="shared" si="0"/>
        <v>50558</v>
      </c>
      <c r="G33" s="297">
        <v>182.13118182073435</v>
      </c>
      <c r="H33" s="297">
        <f t="shared" si="6"/>
        <v>182.13118182073435</v>
      </c>
      <c r="I33" s="297">
        <f t="shared" si="7"/>
        <v>259.27938820200882</v>
      </c>
      <c r="K33" s="288">
        <v>27</v>
      </c>
      <c r="L33" s="287">
        <v>6</v>
      </c>
      <c r="M33" s="293">
        <v>277.59112687119415</v>
      </c>
      <c r="N33" s="295">
        <v>0</v>
      </c>
      <c r="O33" s="295">
        <v>0</v>
      </c>
      <c r="P33" s="296">
        <f t="shared" si="2"/>
        <v>0</v>
      </c>
      <c r="Q33" s="297">
        <v>0</v>
      </c>
      <c r="R33" s="297">
        <f t="shared" si="5"/>
        <v>0</v>
      </c>
      <c r="S33" s="297">
        <f t="shared" si="3"/>
        <v>0</v>
      </c>
    </row>
    <row r="34" spans="1:19" x14ac:dyDescent="0.25">
      <c r="A34" s="288">
        <v>28</v>
      </c>
      <c r="B34" s="287">
        <v>4</v>
      </c>
      <c r="C34" s="293">
        <v>301.71855845076379</v>
      </c>
      <c r="D34" s="295">
        <v>23184</v>
      </c>
      <c r="E34" s="295">
        <v>19302</v>
      </c>
      <c r="F34" s="296">
        <f t="shared" si="0"/>
        <v>42486</v>
      </c>
      <c r="G34" s="297">
        <v>140.81334677639035</v>
      </c>
      <c r="H34" s="297">
        <f t="shared" si="6"/>
        <v>140.81334677639035</v>
      </c>
      <c r="I34" s="297">
        <f t="shared" si="7"/>
        <v>-334.55695329108784</v>
      </c>
      <c r="K34" s="288">
        <v>28</v>
      </c>
      <c r="L34" s="287">
        <v>4</v>
      </c>
      <c r="M34" s="293">
        <v>301.71855845076379</v>
      </c>
      <c r="N34" s="295">
        <v>23184</v>
      </c>
      <c r="O34" s="295">
        <v>19302</v>
      </c>
      <c r="P34" s="296">
        <f t="shared" si="2"/>
        <v>42486</v>
      </c>
      <c r="Q34" s="297">
        <v>140.81334677639035</v>
      </c>
      <c r="R34" s="297">
        <f t="shared" si="5"/>
        <v>140.81334677639035</v>
      </c>
      <c r="S34" s="297">
        <f t="shared" si="3"/>
        <v>1760.9002375526709</v>
      </c>
    </row>
    <row r="35" spans="1:19" x14ac:dyDescent="0.25">
      <c r="A35" s="288">
        <v>29</v>
      </c>
      <c r="B35" s="287">
        <v>4</v>
      </c>
      <c r="C35" s="293">
        <v>343.06977175363932</v>
      </c>
      <c r="D35" s="295">
        <v>31649</v>
      </c>
      <c r="E35" s="295">
        <v>20953</v>
      </c>
      <c r="F35" s="296">
        <f t="shared" si="0"/>
        <v>52602</v>
      </c>
      <c r="G35" s="297">
        <v>153.32741130505036</v>
      </c>
      <c r="H35" s="297">
        <f t="shared" si="6"/>
        <v>153.32741130505036</v>
      </c>
      <c r="I35" s="297">
        <f t="shared" si="7"/>
        <v>244.63611081749187</v>
      </c>
      <c r="K35" s="288">
        <v>29</v>
      </c>
      <c r="L35" s="287">
        <v>4</v>
      </c>
      <c r="M35" s="293">
        <v>343.06977175363932</v>
      </c>
      <c r="N35" s="295">
        <v>31649</v>
      </c>
      <c r="O35" s="295">
        <v>20953</v>
      </c>
      <c r="P35" s="296">
        <f t="shared" si="2"/>
        <v>52602</v>
      </c>
      <c r="Q35" s="297">
        <v>153.32741130505036</v>
      </c>
      <c r="R35" s="297">
        <f t="shared" si="5"/>
        <v>153.32741130505036</v>
      </c>
      <c r="S35" s="297">
        <f t="shared" si="3"/>
        <v>244.63611081749187</v>
      </c>
    </row>
    <row r="36" spans="1:19" x14ac:dyDescent="0.25">
      <c r="A36" s="288">
        <v>30</v>
      </c>
      <c r="B36" s="287">
        <v>4</v>
      </c>
      <c r="C36" s="293">
        <v>456.167107282872</v>
      </c>
      <c r="D36" s="295">
        <v>37628</v>
      </c>
      <c r="E36" s="295">
        <v>28425</v>
      </c>
      <c r="F36" s="296">
        <f t="shared" si="0"/>
        <v>66053</v>
      </c>
      <c r="G36" s="297">
        <v>144.80000628155798</v>
      </c>
      <c r="H36" s="297">
        <f t="shared" si="6"/>
        <v>144.80000628155798</v>
      </c>
      <c r="I36" s="297">
        <f t="shared" si="7"/>
        <v>118.9329521960601</v>
      </c>
      <c r="K36" s="288">
        <v>30</v>
      </c>
      <c r="L36" s="287">
        <v>4</v>
      </c>
      <c r="M36" s="293">
        <v>456.167107282872</v>
      </c>
      <c r="N36" s="295">
        <v>37628</v>
      </c>
      <c r="O36" s="295">
        <v>28425</v>
      </c>
      <c r="P36" s="296">
        <f t="shared" si="2"/>
        <v>66053</v>
      </c>
      <c r="Q36" s="297">
        <v>144.80000628155798</v>
      </c>
      <c r="R36" s="297">
        <f t="shared" si="5"/>
        <v>144.80000628155798</v>
      </c>
      <c r="S36" s="297">
        <f t="shared" si="3"/>
        <v>118.9329521960601</v>
      </c>
    </row>
    <row r="37" spans="1:19" x14ac:dyDescent="0.25">
      <c r="A37" s="288">
        <v>31</v>
      </c>
      <c r="B37" s="287">
        <v>2</v>
      </c>
      <c r="C37" s="293">
        <v>437.43536108584283</v>
      </c>
      <c r="D37" s="295">
        <v>40361</v>
      </c>
      <c r="E37" s="295">
        <v>19302</v>
      </c>
      <c r="F37" s="296">
        <f t="shared" si="0"/>
        <v>59663</v>
      </c>
      <c r="G37" s="297">
        <v>136.39272292001939</v>
      </c>
      <c r="H37" s="297">
        <f t="shared" si="6"/>
        <v>136.39272292001939</v>
      </c>
      <c r="I37" s="297">
        <f t="shared" si="7"/>
        <v>341.13210443847709</v>
      </c>
      <c r="K37" s="288">
        <v>31</v>
      </c>
      <c r="L37" s="287">
        <v>2</v>
      </c>
      <c r="M37" s="293">
        <v>437.43536108584283</v>
      </c>
      <c r="N37" s="295">
        <v>40361</v>
      </c>
      <c r="O37" s="295">
        <v>19302</v>
      </c>
      <c r="P37" s="296">
        <f t="shared" si="2"/>
        <v>59663</v>
      </c>
      <c r="Q37" s="297">
        <v>136.39272292001939</v>
      </c>
      <c r="R37" s="297">
        <f t="shared" si="5"/>
        <v>136.39272292001939</v>
      </c>
      <c r="S37" s="297">
        <f t="shared" si="3"/>
        <v>341.13210443847709</v>
      </c>
    </row>
    <row r="38" spans="1:19" x14ac:dyDescent="0.25">
      <c r="A38" s="288">
        <v>32</v>
      </c>
      <c r="B38" s="287">
        <v>2</v>
      </c>
      <c r="C38" s="293">
        <v>494.80869692202646</v>
      </c>
      <c r="D38" s="295">
        <v>53782</v>
      </c>
      <c r="E38" s="295">
        <v>20953</v>
      </c>
      <c r="F38" s="296">
        <f t="shared" si="0"/>
        <v>74735</v>
      </c>
      <c r="G38" s="297">
        <v>151.03816983187946</v>
      </c>
      <c r="H38" s="297">
        <f t="shared" si="6"/>
        <v>151.03816983187946</v>
      </c>
      <c r="I38" s="297">
        <f t="shared" si="7"/>
        <v>262.70043009238003</v>
      </c>
      <c r="K38" s="288">
        <v>32</v>
      </c>
      <c r="L38" s="287">
        <v>2</v>
      </c>
      <c r="M38" s="293">
        <v>494.80869692202646</v>
      </c>
      <c r="N38" s="295">
        <v>53782</v>
      </c>
      <c r="O38" s="295">
        <v>20953</v>
      </c>
      <c r="P38" s="296">
        <f t="shared" si="2"/>
        <v>74735</v>
      </c>
      <c r="Q38" s="297">
        <v>151.03816983187946</v>
      </c>
      <c r="R38" s="297">
        <f t="shared" si="5"/>
        <v>151.03816983187946</v>
      </c>
      <c r="S38" s="297">
        <f t="shared" si="3"/>
        <v>262.70043009238003</v>
      </c>
    </row>
    <row r="39" spans="1:19" x14ac:dyDescent="0.25">
      <c r="A39" s="288">
        <v>33</v>
      </c>
      <c r="B39" s="287">
        <v>2</v>
      </c>
      <c r="C39" s="293">
        <v>602.62815679322807</v>
      </c>
      <c r="D39" s="295">
        <v>61034</v>
      </c>
      <c r="E39" s="295">
        <v>28425</v>
      </c>
      <c r="F39" s="296">
        <f t="shared" si="0"/>
        <v>89459</v>
      </c>
      <c r="G39" s="297">
        <v>148.44809189806062</v>
      </c>
      <c r="H39" s="297">
        <f t="shared" si="6"/>
        <v>148.44809189806062</v>
      </c>
      <c r="I39" s="297">
        <f t="shared" si="7"/>
        <v>136.5616190026264</v>
      </c>
      <c r="K39" s="288">
        <v>33</v>
      </c>
      <c r="L39" s="287">
        <v>2</v>
      </c>
      <c r="M39" s="293">
        <v>602.62815679322807</v>
      </c>
      <c r="N39" s="295">
        <v>61034</v>
      </c>
      <c r="O39" s="295">
        <v>28425</v>
      </c>
      <c r="P39" s="296">
        <f t="shared" si="2"/>
        <v>89459</v>
      </c>
      <c r="Q39" s="297">
        <v>148.44809189806062</v>
      </c>
      <c r="R39" s="297">
        <f t="shared" si="5"/>
        <v>148.44809189806062</v>
      </c>
      <c r="S39" s="297">
        <f t="shared" si="3"/>
        <v>136.5616190026264</v>
      </c>
    </row>
    <row r="40" spans="1:19" x14ac:dyDescent="0.25">
      <c r="A40" s="288">
        <v>34</v>
      </c>
      <c r="B40" s="287" t="s">
        <v>662</v>
      </c>
      <c r="C40" s="293">
        <v>624.58003546018676</v>
      </c>
      <c r="D40" s="295">
        <v>72010</v>
      </c>
      <c r="E40" s="295">
        <v>32016.333333333299</v>
      </c>
      <c r="F40" s="296">
        <f t="shared" si="0"/>
        <v>104026.3333333333</v>
      </c>
      <c r="G40" s="297">
        <v>166.55404820406616</v>
      </c>
      <c r="H40" s="297">
        <f t="shared" si="6"/>
        <v>166.55404820406616</v>
      </c>
      <c r="I40" s="297">
        <f t="shared" si="7"/>
        <v>663.60303618385115</v>
      </c>
      <c r="K40" s="288">
        <v>34</v>
      </c>
      <c r="L40" s="287" t="s">
        <v>662</v>
      </c>
      <c r="M40" s="293">
        <v>624.58003546018676</v>
      </c>
      <c r="N40" s="295">
        <v>72010</v>
      </c>
      <c r="O40" s="295">
        <v>32016.333333333299</v>
      </c>
      <c r="P40" s="296">
        <f t="shared" si="2"/>
        <v>104026.3333333333</v>
      </c>
      <c r="Q40" s="297">
        <v>166.55404820406616</v>
      </c>
      <c r="R40" s="297">
        <f t="shared" si="5"/>
        <v>166.55404820406616</v>
      </c>
      <c r="S40" s="297">
        <f t="shared" si="3"/>
        <v>663.60303618385115</v>
      </c>
    </row>
    <row r="41" spans="1:19" x14ac:dyDescent="0.25">
      <c r="A41" s="288">
        <v>35</v>
      </c>
      <c r="B41" s="287" t="s">
        <v>662</v>
      </c>
      <c r="C41" s="293">
        <v>711.57859001972224</v>
      </c>
      <c r="D41" s="295">
        <v>91410</v>
      </c>
      <c r="E41" s="295">
        <v>36577.833333333299</v>
      </c>
      <c r="F41" s="296">
        <f t="shared" si="0"/>
        <v>127987.8333333333</v>
      </c>
      <c r="G41" s="297">
        <v>179.86464900494823</v>
      </c>
      <c r="H41" s="297">
        <f t="shared" si="6"/>
        <v>179.86464900494823</v>
      </c>
      <c r="I41" s="297">
        <f t="shared" si="7"/>
        <v>275.4241161972696</v>
      </c>
      <c r="K41" s="288">
        <v>35</v>
      </c>
      <c r="L41" s="287" t="s">
        <v>662</v>
      </c>
      <c r="M41" s="293">
        <v>711.57859001972224</v>
      </c>
      <c r="N41" s="295">
        <v>91410</v>
      </c>
      <c r="O41" s="295">
        <v>36577.833333333299</v>
      </c>
      <c r="P41" s="296">
        <f t="shared" si="2"/>
        <v>127987.8333333333</v>
      </c>
      <c r="Q41" s="297">
        <v>179.86464900494823</v>
      </c>
      <c r="R41" s="297">
        <f t="shared" si="5"/>
        <v>179.86464900494823</v>
      </c>
      <c r="S41" s="297">
        <f t="shared" si="3"/>
        <v>275.4241161972696</v>
      </c>
    </row>
    <row r="42" spans="1:19" x14ac:dyDescent="0.25">
      <c r="A42" s="288">
        <v>36</v>
      </c>
      <c r="B42" s="287" t="s">
        <v>662</v>
      </c>
      <c r="C42" s="293">
        <v>865.69727162320362</v>
      </c>
      <c r="D42" s="295">
        <v>101395</v>
      </c>
      <c r="E42" s="295">
        <v>41139.333333333299</v>
      </c>
      <c r="F42" s="296">
        <f t="shared" si="0"/>
        <v>142534.33333333331</v>
      </c>
      <c r="G42" s="297">
        <v>164.64685520618303</v>
      </c>
      <c r="H42" s="297">
        <f t="shared" si="6"/>
        <v>164.64685520618303</v>
      </c>
      <c r="I42" s="297">
        <f t="shared" si="7"/>
        <v>94.385053444886367</v>
      </c>
      <c r="K42" s="288">
        <v>36</v>
      </c>
      <c r="L42" s="287" t="s">
        <v>662</v>
      </c>
      <c r="M42" s="293">
        <v>865.69727162320362</v>
      </c>
      <c r="N42" s="295">
        <v>101395</v>
      </c>
      <c r="O42" s="295">
        <v>41139.333333333299</v>
      </c>
      <c r="P42" s="296">
        <f t="shared" si="2"/>
        <v>142534.33333333331</v>
      </c>
      <c r="Q42" s="297">
        <v>164.64685520618303</v>
      </c>
      <c r="R42" s="297">
        <f t="shared" si="5"/>
        <v>164.64685520618303</v>
      </c>
      <c r="S42" s="297">
        <f t="shared" si="3"/>
        <v>94.385053444886367</v>
      </c>
    </row>
    <row r="43" spans="1:19" x14ac:dyDescent="0.25">
      <c r="A43" s="288">
        <v>37</v>
      </c>
      <c r="B43" s="287" t="s">
        <v>665</v>
      </c>
      <c r="C43" s="293">
        <v>725.83356668538579</v>
      </c>
      <c r="D43" s="295">
        <v>125792</v>
      </c>
      <c r="E43" s="295">
        <v>32016.333333333299</v>
      </c>
      <c r="F43" s="296">
        <f t="shared" si="0"/>
        <v>157808.33333333331</v>
      </c>
      <c r="G43" s="297">
        <v>217.41669244367654</v>
      </c>
      <c r="H43" s="297">
        <f t="shared" si="6"/>
        <v>217.41669244367654</v>
      </c>
      <c r="I43" s="297">
        <f t="shared" si="7"/>
        <v>-109.20631629764624</v>
      </c>
      <c r="K43" s="288">
        <v>37</v>
      </c>
      <c r="L43" s="287" t="s">
        <v>665</v>
      </c>
      <c r="M43" s="293">
        <v>725.83356668538579</v>
      </c>
      <c r="N43" s="295">
        <v>125792</v>
      </c>
      <c r="O43" s="295">
        <v>32016.333333333299</v>
      </c>
      <c r="P43" s="296">
        <f t="shared" si="2"/>
        <v>157808.33333333331</v>
      </c>
      <c r="Q43" s="297">
        <v>217.41669244367654</v>
      </c>
      <c r="R43" s="297">
        <f t="shared" si="5"/>
        <v>217.41669244367654</v>
      </c>
      <c r="S43" s="297">
        <f t="shared" si="3"/>
        <v>-109.20631629764624</v>
      </c>
    </row>
    <row r="44" spans="1:19" x14ac:dyDescent="0.25">
      <c r="A44" s="288">
        <v>38</v>
      </c>
      <c r="B44" s="287" t="s">
        <v>665</v>
      </c>
      <c r="C44" s="293">
        <v>829.57681008855479</v>
      </c>
      <c r="D44" s="295">
        <v>152444</v>
      </c>
      <c r="E44" s="295">
        <v>36577.833333333299</v>
      </c>
      <c r="F44" s="296">
        <f t="shared" si="0"/>
        <v>189021.83333333331</v>
      </c>
      <c r="G44" s="297">
        <v>227.85332356765832</v>
      </c>
      <c r="H44" s="297">
        <f t="shared" si="6"/>
        <v>227.85332356765832</v>
      </c>
      <c r="I44" s="297">
        <f t="shared" si="7"/>
        <v>300.87260602309772</v>
      </c>
      <c r="K44" s="288">
        <v>38</v>
      </c>
      <c r="L44" s="287" t="s">
        <v>665</v>
      </c>
      <c r="M44" s="293">
        <v>829.57681008855479</v>
      </c>
      <c r="N44" s="295">
        <v>152444</v>
      </c>
      <c r="O44" s="295">
        <v>36577.833333333299</v>
      </c>
      <c r="P44" s="296">
        <f t="shared" si="2"/>
        <v>189021.83333333331</v>
      </c>
      <c r="Q44" s="297">
        <v>227.85332356765832</v>
      </c>
      <c r="R44" s="297">
        <f t="shared" si="5"/>
        <v>227.85332356765832</v>
      </c>
      <c r="S44" s="297">
        <f t="shared" si="3"/>
        <v>300.87260602309772</v>
      </c>
    </row>
    <row r="45" spans="1:19" x14ac:dyDescent="0.25">
      <c r="A45" s="288">
        <v>39</v>
      </c>
      <c r="B45" s="287" t="s">
        <v>665</v>
      </c>
      <c r="C45" s="293">
        <v>1069.4059932635994</v>
      </c>
      <c r="D45" s="295">
        <v>173405</v>
      </c>
      <c r="E45" s="295">
        <v>41139.333333333299</v>
      </c>
      <c r="F45" s="296">
        <f t="shared" si="0"/>
        <v>214544.33333333331</v>
      </c>
      <c r="G45" s="297">
        <v>200.62009628222646</v>
      </c>
      <c r="H45" s="297">
        <f t="shared" si="6"/>
        <v>200.62009628222646</v>
      </c>
      <c r="I45" s="297">
        <f t="shared" si="7"/>
        <v>106.41949266604408</v>
      </c>
      <c r="K45" s="288">
        <v>39</v>
      </c>
      <c r="L45" s="287" t="s">
        <v>665</v>
      </c>
      <c r="M45" s="293">
        <v>1069.4059932635994</v>
      </c>
      <c r="N45" s="295">
        <v>173405</v>
      </c>
      <c r="O45" s="295">
        <v>41139.333333333299</v>
      </c>
      <c r="P45" s="296">
        <f t="shared" si="2"/>
        <v>214544.33333333331</v>
      </c>
      <c r="Q45" s="297">
        <v>200.62009628222646</v>
      </c>
      <c r="R45" s="297">
        <f t="shared" si="5"/>
        <v>200.62009628222646</v>
      </c>
      <c r="S45" s="297">
        <f t="shared" si="3"/>
        <v>106.41949266604408</v>
      </c>
    </row>
    <row r="46" spans="1:19" x14ac:dyDescent="0.25">
      <c r="A46" s="288">
        <v>40</v>
      </c>
      <c r="B46" s="287" t="s">
        <v>668</v>
      </c>
      <c r="C46" s="293">
        <v>850.12282604303186</v>
      </c>
      <c r="D46" s="295">
        <v>217202</v>
      </c>
      <c r="E46" s="295">
        <v>32016.333333333299</v>
      </c>
      <c r="F46" s="296">
        <f t="shared" si="0"/>
        <v>249218.33333333331</v>
      </c>
      <c r="G46" s="297">
        <v>293.15567786050514</v>
      </c>
      <c r="H46" s="297">
        <f t="shared" si="6"/>
        <v>293.15567786050514</v>
      </c>
      <c r="I46" s="297">
        <f t="shared" si="7"/>
        <v>-158.12431222832035</v>
      </c>
      <c r="K46" s="288">
        <v>40</v>
      </c>
      <c r="L46" s="287" t="s">
        <v>668</v>
      </c>
      <c r="M46" s="293">
        <v>850.12282604303186</v>
      </c>
      <c r="N46" s="295">
        <v>217202</v>
      </c>
      <c r="O46" s="295">
        <v>32016.333333333299</v>
      </c>
      <c r="P46" s="296">
        <f t="shared" si="2"/>
        <v>249218.33333333331</v>
      </c>
      <c r="Q46" s="297">
        <v>293.15567786050514</v>
      </c>
      <c r="R46" s="297">
        <f t="shared" si="5"/>
        <v>293.15567786050514</v>
      </c>
      <c r="S46" s="297">
        <f t="shared" si="3"/>
        <v>-158.12431222832035</v>
      </c>
    </row>
    <row r="47" spans="1:19" x14ac:dyDescent="0.25">
      <c r="A47" s="288">
        <v>41</v>
      </c>
      <c r="B47" s="287" t="s">
        <v>668</v>
      </c>
      <c r="C47" s="293">
        <v>1023.5387405211886</v>
      </c>
      <c r="D47" s="295">
        <v>253839</v>
      </c>
      <c r="E47" s="295">
        <v>36577.833333333299</v>
      </c>
      <c r="F47" s="296">
        <f t="shared" si="0"/>
        <v>290416.83333333331</v>
      </c>
      <c r="G47" s="297">
        <v>283.73799821729494</v>
      </c>
      <c r="H47" s="297">
        <f t="shared" si="6"/>
        <v>283.73799821729494</v>
      </c>
      <c r="I47" s="297">
        <f t="shared" si="7"/>
        <v>237.57046822360303</v>
      </c>
      <c r="K47" s="288">
        <v>41</v>
      </c>
      <c r="L47" s="287" t="s">
        <v>668</v>
      </c>
      <c r="M47" s="293">
        <v>1023.5387405211886</v>
      </c>
      <c r="N47" s="295">
        <v>253839</v>
      </c>
      <c r="O47" s="295">
        <v>36577.833333333299</v>
      </c>
      <c r="P47" s="296">
        <f t="shared" si="2"/>
        <v>290416.83333333331</v>
      </c>
      <c r="Q47" s="297">
        <v>283.73799821729494</v>
      </c>
      <c r="R47" s="297">
        <f t="shared" si="5"/>
        <v>283.73799821729494</v>
      </c>
      <c r="S47" s="297">
        <f t="shared" si="3"/>
        <v>237.57046822360303</v>
      </c>
    </row>
    <row r="48" spans="1:19" x14ac:dyDescent="0.25">
      <c r="A48" s="288">
        <v>42</v>
      </c>
      <c r="B48" s="287" t="s">
        <v>668</v>
      </c>
      <c r="C48" s="293">
        <v>1244.1021067480938</v>
      </c>
      <c r="D48" s="295">
        <v>299197</v>
      </c>
      <c r="E48" s="295">
        <v>41139.333333333299</v>
      </c>
      <c r="F48" s="296">
        <f t="shared" si="0"/>
        <v>340336.33333333331</v>
      </c>
      <c r="G48" s="297">
        <v>273.55980790268427</v>
      </c>
      <c r="H48" s="297">
        <f t="shared" si="6"/>
        <v>273.55980790268427</v>
      </c>
      <c r="I48" s="297">
        <f t="shared" si="7"/>
        <v>226.32724941568574</v>
      </c>
      <c r="K48" s="288">
        <v>42</v>
      </c>
      <c r="L48" s="287" t="s">
        <v>668</v>
      </c>
      <c r="M48" s="293">
        <v>1244.1021067480938</v>
      </c>
      <c r="N48" s="295">
        <v>299197</v>
      </c>
      <c r="O48" s="295">
        <v>41139.333333333299</v>
      </c>
      <c r="P48" s="296">
        <f t="shared" si="2"/>
        <v>340336.33333333331</v>
      </c>
      <c r="Q48" s="297">
        <v>273.55980790268427</v>
      </c>
      <c r="R48" s="297">
        <f t="shared" si="5"/>
        <v>273.55980790268427</v>
      </c>
      <c r="S48" s="297">
        <f t="shared" si="3"/>
        <v>226.32724941568574</v>
      </c>
    </row>
    <row r="49" spans="1:19" x14ac:dyDescent="0.25">
      <c r="A49" s="288">
        <v>43</v>
      </c>
      <c r="B49" s="287" t="s">
        <v>671</v>
      </c>
      <c r="C49" s="293">
        <v>1057.8449322983893</v>
      </c>
      <c r="D49" s="295">
        <v>369646</v>
      </c>
      <c r="E49" s="295">
        <v>32016.333333333299</v>
      </c>
      <c r="F49" s="296">
        <f t="shared" si="0"/>
        <v>401662.33333333331</v>
      </c>
      <c r="G49" s="297">
        <v>379.69868840855332</v>
      </c>
      <c r="H49" s="297">
        <f t="shared" si="6"/>
        <v>379.69868840855332</v>
      </c>
      <c r="I49" s="297">
        <f t="shared" si="7"/>
        <v>-329.25443103701764</v>
      </c>
      <c r="K49" s="288">
        <v>43</v>
      </c>
      <c r="L49" s="287" t="s">
        <v>671</v>
      </c>
      <c r="M49" s="293">
        <v>1057.8449322983893</v>
      </c>
      <c r="N49" s="295">
        <v>369646</v>
      </c>
      <c r="O49" s="295">
        <v>32016.333333333299</v>
      </c>
      <c r="P49" s="296">
        <f t="shared" si="2"/>
        <v>401662.33333333331</v>
      </c>
      <c r="Q49" s="297">
        <v>379.69868840855332</v>
      </c>
      <c r="R49" s="297">
        <f t="shared" si="5"/>
        <v>379.69868840855332</v>
      </c>
      <c r="S49" s="297">
        <f t="shared" si="3"/>
        <v>-329.25443103701764</v>
      </c>
    </row>
    <row r="50" spans="1:19" x14ac:dyDescent="0.25">
      <c r="A50" s="288">
        <v>44</v>
      </c>
      <c r="B50" s="287" t="s">
        <v>671</v>
      </c>
      <c r="C50" s="293">
        <v>1200.724566183653</v>
      </c>
      <c r="D50" s="295">
        <v>427244</v>
      </c>
      <c r="E50" s="295">
        <v>36577.833333333299</v>
      </c>
      <c r="F50" s="296">
        <f t="shared" si="0"/>
        <v>463821.83333333331</v>
      </c>
      <c r="G50" s="297">
        <v>386.28495359891798</v>
      </c>
      <c r="H50" s="297">
        <f t="shared" si="6"/>
        <v>386.28495359891798</v>
      </c>
      <c r="I50" s="297">
        <f t="shared" si="7"/>
        <v>435.0480072612433</v>
      </c>
      <c r="K50" s="288">
        <v>44</v>
      </c>
      <c r="L50" s="287" t="s">
        <v>671</v>
      </c>
      <c r="M50" s="293">
        <v>1200.724566183653</v>
      </c>
      <c r="N50" s="295">
        <v>427244</v>
      </c>
      <c r="O50" s="295">
        <v>36577.833333333299</v>
      </c>
      <c r="P50" s="296">
        <f t="shared" si="2"/>
        <v>463821.83333333331</v>
      </c>
      <c r="Q50" s="297">
        <v>386.28495359891798</v>
      </c>
      <c r="R50" s="297">
        <f t="shared" si="5"/>
        <v>386.28495359891798</v>
      </c>
      <c r="S50" s="297">
        <f t="shared" si="3"/>
        <v>435.0480072612433</v>
      </c>
    </row>
    <row r="51" spans="1:19" x14ac:dyDescent="0.25">
      <c r="A51" s="288">
        <v>45</v>
      </c>
      <c r="B51" s="287" t="s">
        <v>671</v>
      </c>
      <c r="C51" s="293">
        <v>1569.2962163028076</v>
      </c>
      <c r="D51" s="295">
        <v>516399</v>
      </c>
      <c r="E51" s="295">
        <v>41139.333333333299</v>
      </c>
      <c r="F51" s="296">
        <f t="shared" si="0"/>
        <v>557538.33333333326</v>
      </c>
      <c r="G51" s="297">
        <v>355.27921850654104</v>
      </c>
      <c r="H51" s="297">
        <f t="shared" si="6"/>
        <v>355.27921850654104</v>
      </c>
      <c r="I51" s="297">
        <f t="shared" si="7"/>
        <v>254.26942080244797</v>
      </c>
      <c r="K51" s="288">
        <v>45</v>
      </c>
      <c r="L51" s="287" t="s">
        <v>671</v>
      </c>
      <c r="M51" s="293">
        <v>1569.2962163028076</v>
      </c>
      <c r="N51" s="295">
        <v>516399</v>
      </c>
      <c r="O51" s="295">
        <v>41139.333333333299</v>
      </c>
      <c r="P51" s="296">
        <f t="shared" si="2"/>
        <v>557538.33333333326</v>
      </c>
      <c r="Q51" s="297">
        <v>355.27921850654104</v>
      </c>
      <c r="R51" s="297">
        <f t="shared" si="5"/>
        <v>355.27921850654104</v>
      </c>
      <c r="S51" s="297">
        <f t="shared" si="3"/>
        <v>254.26942080244797</v>
      </c>
    </row>
    <row r="52" spans="1:19" x14ac:dyDescent="0.25">
      <c r="A52" s="288">
        <v>46</v>
      </c>
      <c r="B52" s="287" t="s">
        <v>964</v>
      </c>
      <c r="C52" s="293">
        <v>1313.8219017128854</v>
      </c>
      <c r="D52" s="295">
        <v>623485</v>
      </c>
      <c r="E52" s="295">
        <v>45700.833333333299</v>
      </c>
      <c r="F52" s="296">
        <f t="shared" si="0"/>
        <v>669185.83333333326</v>
      </c>
      <c r="G52" s="297">
        <v>509.34288160433869</v>
      </c>
      <c r="H52" s="297">
        <f t="shared" si="6"/>
        <v>509.34288160433869</v>
      </c>
      <c r="I52" s="297">
        <f t="shared" si="7"/>
        <v>-437.02045029149951</v>
      </c>
      <c r="K52" s="288">
        <v>46</v>
      </c>
      <c r="L52" s="287" t="s">
        <v>964</v>
      </c>
      <c r="M52" s="293">
        <v>1313.8219017128899</v>
      </c>
      <c r="N52" s="295">
        <v>623485</v>
      </c>
      <c r="O52" s="295">
        <v>45700.833333333299</v>
      </c>
      <c r="P52" s="296">
        <f t="shared" si="2"/>
        <v>669185.83333333326</v>
      </c>
      <c r="Q52" s="297">
        <v>509.34288160433869</v>
      </c>
      <c r="R52" s="297">
        <f t="shared" si="5"/>
        <v>509.34288160433692</v>
      </c>
      <c r="S52" s="297">
        <f t="shared" si="3"/>
        <v>-437.0204502915073</v>
      </c>
    </row>
    <row r="53" spans="1:19" x14ac:dyDescent="0.25">
      <c r="A53" s="288">
        <v>47</v>
      </c>
      <c r="B53" s="287" t="s">
        <v>964</v>
      </c>
      <c r="C53" s="293">
        <v>1604.5998637475229</v>
      </c>
      <c r="D53" s="295">
        <v>726441</v>
      </c>
      <c r="E53" s="295">
        <v>50262.333333333299</v>
      </c>
      <c r="F53" s="296">
        <f t="shared" si="0"/>
        <v>776703.33333333326</v>
      </c>
      <c r="G53" s="297">
        <v>484.04798659234103</v>
      </c>
      <c r="H53" s="297">
        <f t="shared" si="6"/>
        <v>484.04798659234103</v>
      </c>
      <c r="I53" s="297">
        <f t="shared" si="7"/>
        <v>369.75807673895343</v>
      </c>
      <c r="K53" s="288">
        <v>47</v>
      </c>
      <c r="L53" s="287" t="s">
        <v>964</v>
      </c>
      <c r="M53" s="293">
        <v>1604.5998637475229</v>
      </c>
      <c r="N53" s="295">
        <v>726441</v>
      </c>
      <c r="O53" s="295">
        <v>50262.333333333299</v>
      </c>
      <c r="P53" s="296">
        <f t="shared" si="2"/>
        <v>776703.33333333326</v>
      </c>
      <c r="Q53" s="297">
        <v>484.04798659234103</v>
      </c>
      <c r="R53" s="297">
        <f t="shared" si="5"/>
        <v>484.04798659234103</v>
      </c>
      <c r="S53" s="297">
        <f t="shared" si="3"/>
        <v>369.75807673895923</v>
      </c>
    </row>
    <row r="54" spans="1:19" x14ac:dyDescent="0.25">
      <c r="A54" s="288">
        <v>48</v>
      </c>
      <c r="B54" s="287" t="s">
        <v>964</v>
      </c>
      <c r="C54" s="293">
        <v>1955.64928084128</v>
      </c>
      <c r="D54" s="295">
        <v>886045</v>
      </c>
      <c r="E54" s="295">
        <v>54823.833333333299</v>
      </c>
      <c r="F54" s="296">
        <f t="shared" si="0"/>
        <v>940868.83333333326</v>
      </c>
      <c r="G54" s="297">
        <v>481.10304979049766</v>
      </c>
      <c r="H54" s="297">
        <f t="shared" si="6"/>
        <v>481.10304979049766</v>
      </c>
      <c r="I54" s="297">
        <f t="shared" si="7"/>
        <v>467.64213813280668</v>
      </c>
      <c r="K54" s="288">
        <v>48</v>
      </c>
      <c r="L54" s="287" t="s">
        <v>964</v>
      </c>
      <c r="M54" s="293">
        <v>1955.64928084128</v>
      </c>
      <c r="N54" s="295">
        <v>886045</v>
      </c>
      <c r="O54" s="295">
        <v>54823.833333333299</v>
      </c>
      <c r="P54" s="296">
        <f t="shared" si="2"/>
        <v>940868.83333333326</v>
      </c>
      <c r="Q54" s="297">
        <v>481.10304979049766</v>
      </c>
      <c r="R54" s="297">
        <f t="shared" si="5"/>
        <v>481.10304979049766</v>
      </c>
      <c r="S54" s="297">
        <f t="shared" si="3"/>
        <v>467.64213813280668</v>
      </c>
    </row>
    <row r="55" spans="1:19" x14ac:dyDescent="0.25">
      <c r="A55" s="288">
        <v>49</v>
      </c>
      <c r="B55" s="287" t="s">
        <v>965</v>
      </c>
      <c r="C55" s="293">
        <v>1787.0085871965805</v>
      </c>
      <c r="D55" s="295">
        <v>1050729</v>
      </c>
      <c r="E55" s="295">
        <v>45700.833333333299</v>
      </c>
      <c r="F55" s="296">
        <f t="shared" si="0"/>
        <v>1096429.8333333333</v>
      </c>
      <c r="G55" s="297">
        <v>613.55599586311337</v>
      </c>
      <c r="H55" s="297">
        <f t="shared" si="6"/>
        <v>613.55599586311337</v>
      </c>
      <c r="I55" s="297">
        <f t="shared" si="7"/>
        <v>-922.44046580918121</v>
      </c>
      <c r="K55" s="288">
        <v>49</v>
      </c>
      <c r="L55" s="287" t="s">
        <v>965</v>
      </c>
      <c r="M55" s="293">
        <v>1787.0085871965805</v>
      </c>
      <c r="N55" s="295">
        <v>1050729</v>
      </c>
      <c r="O55" s="295">
        <v>45700.833333333299</v>
      </c>
      <c r="P55" s="296">
        <f t="shared" si="2"/>
        <v>1096429.8333333333</v>
      </c>
      <c r="Q55" s="297">
        <v>613.55599586311337</v>
      </c>
      <c r="R55" s="297">
        <f t="shared" si="5"/>
        <v>613.55599586311337</v>
      </c>
      <c r="S55" s="297">
        <f t="shared" si="3"/>
        <v>-922.44046580918121</v>
      </c>
    </row>
    <row r="56" spans="1:19" x14ac:dyDescent="0.25">
      <c r="A56" s="288">
        <v>50</v>
      </c>
      <c r="B56" s="287" t="s">
        <v>965</v>
      </c>
      <c r="C56" s="293">
        <v>2026.8299163899908</v>
      </c>
      <c r="D56" s="295">
        <v>1242840</v>
      </c>
      <c r="E56" s="295">
        <v>50262.333333333299</v>
      </c>
      <c r="F56" s="296">
        <f t="shared" si="0"/>
        <v>1293102.3333333333</v>
      </c>
      <c r="G56" s="297">
        <v>637.99252363340486</v>
      </c>
      <c r="H56" s="297">
        <f t="shared" si="6"/>
        <v>637.99252363340486</v>
      </c>
      <c r="I56" s="297">
        <f t="shared" si="7"/>
        <v>820.07926760087389</v>
      </c>
      <c r="K56" s="288">
        <v>50</v>
      </c>
      <c r="L56" s="287" t="s">
        <v>965</v>
      </c>
      <c r="M56" s="293">
        <v>2026.8299163899908</v>
      </c>
      <c r="N56" s="295">
        <v>1242840</v>
      </c>
      <c r="O56" s="295">
        <v>50262.333333333299</v>
      </c>
      <c r="P56" s="296">
        <f t="shared" si="2"/>
        <v>1293102.3333333333</v>
      </c>
      <c r="Q56" s="297">
        <v>637.99252363340486</v>
      </c>
      <c r="R56" s="297">
        <f t="shared" si="5"/>
        <v>637.99252363340486</v>
      </c>
      <c r="S56" s="297">
        <f t="shared" si="3"/>
        <v>820.07926760087389</v>
      </c>
    </row>
    <row r="57" spans="1:19" x14ac:dyDescent="0.25">
      <c r="A57" s="288">
        <v>51</v>
      </c>
      <c r="B57" s="287" t="s">
        <v>965</v>
      </c>
      <c r="C57" s="293">
        <v>2471.8129538260832</v>
      </c>
      <c r="D57" s="295">
        <v>1509530</v>
      </c>
      <c r="E57" s="295">
        <v>54823.833333333299</v>
      </c>
      <c r="F57" s="296">
        <f t="shared" si="0"/>
        <v>1564353.8333333333</v>
      </c>
      <c r="G57" s="297">
        <v>632.87710783774833</v>
      </c>
      <c r="H57" s="297">
        <f t="shared" si="6"/>
        <v>632.87710783774833</v>
      </c>
      <c r="I57" s="297">
        <f t="shared" si="7"/>
        <v>609.5771685206239</v>
      </c>
      <c r="K57" s="288">
        <v>51</v>
      </c>
      <c r="L57" s="287" t="s">
        <v>965</v>
      </c>
      <c r="M57" s="293">
        <v>2471.8129538260832</v>
      </c>
      <c r="N57" s="295">
        <v>1509530</v>
      </c>
      <c r="O57" s="295">
        <v>54823.833333333299</v>
      </c>
      <c r="P57" s="296">
        <f t="shared" si="2"/>
        <v>1564353.8333333333</v>
      </c>
      <c r="Q57" s="297">
        <v>632.87710783774833</v>
      </c>
      <c r="R57" s="297">
        <f t="shared" si="5"/>
        <v>632.87710783774833</v>
      </c>
      <c r="S57" s="297">
        <f t="shared" si="3"/>
        <v>609.5771685206239</v>
      </c>
    </row>
    <row r="58" spans="1:19" x14ac:dyDescent="0.25">
      <c r="A58" s="288">
        <v>52</v>
      </c>
      <c r="B58" s="287" t="s">
        <v>966</v>
      </c>
      <c r="C58" s="293">
        <v>2307.2170607228804</v>
      </c>
      <c r="D58" s="295">
        <v>1777170</v>
      </c>
      <c r="E58" s="295">
        <v>45700.833333333299</v>
      </c>
      <c r="F58" s="296">
        <f t="shared" si="0"/>
        <v>1822870.8333333333</v>
      </c>
      <c r="G58" s="297">
        <v>790.0734024401695</v>
      </c>
      <c r="H58" s="297">
        <f t="shared" si="6"/>
        <v>790.0734024401695</v>
      </c>
      <c r="I58" s="297">
        <f t="shared" si="7"/>
        <v>-1570.6163448313257</v>
      </c>
      <c r="K58" s="288">
        <v>52</v>
      </c>
      <c r="L58" s="287" t="s">
        <v>966</v>
      </c>
      <c r="M58" s="293">
        <v>2307.2170607228804</v>
      </c>
      <c r="N58" s="295">
        <v>1777170</v>
      </c>
      <c r="O58" s="295">
        <v>45700.833333333299</v>
      </c>
      <c r="P58" s="296">
        <f t="shared" si="2"/>
        <v>1822870.8333333333</v>
      </c>
      <c r="Q58" s="297">
        <v>790.0734024401695</v>
      </c>
      <c r="R58" s="297">
        <f t="shared" si="5"/>
        <v>790.0734024401695</v>
      </c>
      <c r="S58" s="297">
        <f t="shared" si="3"/>
        <v>-1570.6163448313257</v>
      </c>
    </row>
    <row r="59" spans="1:19" x14ac:dyDescent="0.25">
      <c r="A59" s="288">
        <v>53</v>
      </c>
      <c r="B59" s="287" t="s">
        <v>966</v>
      </c>
      <c r="C59" s="293">
        <v>2632.9766569552394</v>
      </c>
      <c r="D59" s="295">
        <v>2128885</v>
      </c>
      <c r="E59" s="295">
        <v>50262.333333333299</v>
      </c>
      <c r="F59" s="296">
        <f t="shared" si="0"/>
        <v>2179147.3333333335</v>
      </c>
      <c r="G59" s="297">
        <v>827.63640443865086</v>
      </c>
      <c r="H59" s="297">
        <f t="shared" si="6"/>
        <v>827.63640443865086</v>
      </c>
      <c r="I59" s="297">
        <f t="shared" si="7"/>
        <v>1093.679216577473</v>
      </c>
      <c r="K59" s="288">
        <v>53</v>
      </c>
      <c r="L59" s="287" t="s">
        <v>966</v>
      </c>
      <c r="M59" s="293">
        <v>2632.9766569552394</v>
      </c>
      <c r="N59" s="295">
        <v>2128885</v>
      </c>
      <c r="O59" s="295">
        <v>50262.333333333299</v>
      </c>
      <c r="P59" s="296">
        <f t="shared" si="2"/>
        <v>2179147.3333333335</v>
      </c>
      <c r="Q59" s="297">
        <v>827.63640443865086</v>
      </c>
      <c r="R59" s="297">
        <f t="shared" si="5"/>
        <v>827.63640443865086</v>
      </c>
      <c r="S59" s="297">
        <f t="shared" si="3"/>
        <v>1093.679216577473</v>
      </c>
    </row>
    <row r="60" spans="1:19" x14ac:dyDescent="0.25">
      <c r="A60" s="288">
        <v>54</v>
      </c>
      <c r="B60" s="287" t="s">
        <v>966</v>
      </c>
      <c r="C60" s="293">
        <v>3216.9908772759482</v>
      </c>
      <c r="D60" s="295">
        <v>2560259</v>
      </c>
      <c r="E60" s="295">
        <v>54823.833333333299</v>
      </c>
      <c r="F60" s="296">
        <f t="shared" si="0"/>
        <v>2615082.8333333335</v>
      </c>
      <c r="G60" s="297">
        <v>812.89718656202956</v>
      </c>
      <c r="H60" s="297">
        <f t="shared" si="6"/>
        <v>812.89718656202956</v>
      </c>
      <c r="I60" s="297">
        <f t="shared" si="7"/>
        <v>746.44672138395538</v>
      </c>
      <c r="K60" s="288">
        <v>54</v>
      </c>
      <c r="L60" s="287" t="s">
        <v>966</v>
      </c>
      <c r="M60" s="293">
        <v>3216.9908772759482</v>
      </c>
      <c r="N60" s="295">
        <v>2560259</v>
      </c>
      <c r="O60" s="295">
        <v>54823.833333333299</v>
      </c>
      <c r="P60" s="296">
        <f t="shared" si="2"/>
        <v>2615082.8333333335</v>
      </c>
      <c r="Q60" s="297">
        <v>812.89718656202956</v>
      </c>
      <c r="R60" s="297">
        <f t="shared" si="5"/>
        <v>812.89718656202956</v>
      </c>
      <c r="S60" s="297">
        <f t="shared" si="3"/>
        <v>746.44672138395538</v>
      </c>
    </row>
    <row r="61" spans="1:19" x14ac:dyDescent="0.25">
      <c r="D61" s="294"/>
      <c r="H61" s="298">
        <f>AVERAGE(H7:H60)</f>
        <v>390.24384574365439</v>
      </c>
      <c r="I61" s="298">
        <f>AVERAGE(I7:I60)</f>
        <v>259.72648171289501</v>
      </c>
      <c r="N61" s="294"/>
      <c r="R61" s="298">
        <f>AVERAGE(R7:R60)</f>
        <v>272.09340515905637</v>
      </c>
      <c r="S61" s="298">
        <f>AVERAGE(S7:S60)</f>
        <v>228.21070867050199</v>
      </c>
    </row>
    <row r="64" spans="1:19" ht="12.75" customHeight="1" x14ac:dyDescent="0.25">
      <c r="A64" s="2170" t="s">
        <v>1936</v>
      </c>
      <c r="B64" s="2171"/>
      <c r="C64" s="2171"/>
      <c r="D64" s="2171"/>
      <c r="E64" s="2171"/>
      <c r="F64" s="2171"/>
      <c r="G64" s="2171"/>
      <c r="H64" s="2171"/>
      <c r="I64" s="2171"/>
      <c r="K64" s="2170" t="s">
        <v>1936</v>
      </c>
      <c r="L64" s="2171"/>
      <c r="M64" s="2171"/>
      <c r="N64" s="2171"/>
      <c r="O64" s="2171"/>
      <c r="P64" s="2171"/>
      <c r="Q64" s="2171"/>
      <c r="R64" s="2171"/>
      <c r="S64" s="2171"/>
    </row>
    <row r="65" spans="1:19" ht="26.4" x14ac:dyDescent="0.25">
      <c r="A65" s="77" t="s">
        <v>1926</v>
      </c>
      <c r="B65" s="288" t="s">
        <v>1927</v>
      </c>
      <c r="C65" s="77" t="s">
        <v>1928</v>
      </c>
      <c r="D65" s="1637" t="s">
        <v>1929</v>
      </c>
      <c r="E65" s="1637"/>
      <c r="F65" s="1637"/>
      <c r="G65" s="2172" t="s">
        <v>1930</v>
      </c>
      <c r="H65" s="2173"/>
      <c r="I65" s="2174"/>
      <c r="K65" s="77" t="s">
        <v>1926</v>
      </c>
      <c r="L65" s="288" t="s">
        <v>1927</v>
      </c>
      <c r="M65" s="77" t="s">
        <v>1928</v>
      </c>
      <c r="N65" s="1637" t="s">
        <v>1929</v>
      </c>
      <c r="O65" s="1637"/>
      <c r="P65" s="1637"/>
      <c r="Q65" s="2172" t="s">
        <v>1930</v>
      </c>
      <c r="R65" s="2173"/>
      <c r="S65" s="2174"/>
    </row>
    <row r="66" spans="1:19" x14ac:dyDescent="0.25">
      <c r="A66" s="288"/>
      <c r="B66" s="292"/>
      <c r="C66" s="288"/>
      <c r="D66" s="288" t="s">
        <v>1931</v>
      </c>
      <c r="E66" s="288" t="s">
        <v>1932</v>
      </c>
      <c r="F66" s="288" t="s">
        <v>1933</v>
      </c>
      <c r="G66" s="77" t="s">
        <v>89</v>
      </c>
      <c r="H66" s="284" t="s">
        <v>1934</v>
      </c>
      <c r="I66" s="77" t="s">
        <v>1935</v>
      </c>
      <c r="K66" s="288"/>
      <c r="L66" s="292"/>
      <c r="M66" s="288"/>
      <c r="N66" s="288" t="s">
        <v>1931</v>
      </c>
      <c r="O66" s="288" t="s">
        <v>1932</v>
      </c>
      <c r="P66" s="288" t="s">
        <v>1933</v>
      </c>
      <c r="Q66" s="77" t="s">
        <v>89</v>
      </c>
      <c r="R66" s="284" t="s">
        <v>1934</v>
      </c>
      <c r="S66" s="77" t="s">
        <v>1935</v>
      </c>
    </row>
    <row r="67" spans="1:19" x14ac:dyDescent="0.25">
      <c r="A67" s="288">
        <v>7</v>
      </c>
      <c r="B67" s="287" t="s">
        <v>598</v>
      </c>
      <c r="C67" s="288">
        <v>117.7</v>
      </c>
      <c r="D67" s="295">
        <v>31064</v>
      </c>
      <c r="E67" s="295">
        <v>30396</v>
      </c>
      <c r="F67" s="296">
        <f t="shared" ref="F67:F75" si="8">+D67+E67</f>
        <v>61460</v>
      </c>
      <c r="G67" s="297">
        <v>522.17502124044177</v>
      </c>
      <c r="H67" s="297">
        <f>+F67/C67</f>
        <v>522.17502124044177</v>
      </c>
      <c r="I67" s="297">
        <f>+F67/C67</f>
        <v>522.17502124044177</v>
      </c>
      <c r="K67" s="288">
        <v>7</v>
      </c>
      <c r="L67" s="287" t="s">
        <v>598</v>
      </c>
      <c r="M67" s="288">
        <v>117.7</v>
      </c>
      <c r="N67" s="295">
        <v>31064</v>
      </c>
      <c r="O67" s="295">
        <v>30396</v>
      </c>
      <c r="P67" s="296">
        <f t="shared" ref="P67:P75" si="9">+N67+O67</f>
        <v>61460</v>
      </c>
      <c r="Q67" s="297">
        <v>522.17502124044177</v>
      </c>
      <c r="R67" s="297">
        <f>+P67/M67</f>
        <v>522.17502124044177</v>
      </c>
      <c r="S67" s="297">
        <f>+P67/M67</f>
        <v>522.17502124044177</v>
      </c>
    </row>
    <row r="68" spans="1:19" x14ac:dyDescent="0.25">
      <c r="A68" s="288">
        <v>8</v>
      </c>
      <c r="B68" s="287" t="s">
        <v>814</v>
      </c>
      <c r="C68" s="288">
        <v>141.30000000000001</v>
      </c>
      <c r="D68" s="295">
        <v>44481</v>
      </c>
      <c r="E68" s="295">
        <v>30396</v>
      </c>
      <c r="F68" s="296">
        <f t="shared" si="8"/>
        <v>74877</v>
      </c>
      <c r="G68" s="297">
        <v>529.91507430997876</v>
      </c>
      <c r="H68" s="297">
        <f t="shared" ref="H68:H75" si="10">+F68/C68</f>
        <v>529.91507430997876</v>
      </c>
      <c r="I68" s="297">
        <f t="shared" ref="I68:I75" si="11">+(F68-F67)/(C68-C67)</f>
        <v>568.51694915254211</v>
      </c>
      <c r="K68" s="288">
        <v>8</v>
      </c>
      <c r="L68" s="287" t="s">
        <v>814</v>
      </c>
      <c r="M68" s="288">
        <v>141.30000000000001</v>
      </c>
      <c r="N68" s="295">
        <v>44481</v>
      </c>
      <c r="O68" s="295">
        <v>30396</v>
      </c>
      <c r="P68" s="296">
        <f t="shared" si="9"/>
        <v>74877</v>
      </c>
      <c r="Q68" s="297">
        <v>529.91507430997876</v>
      </c>
      <c r="R68" s="297">
        <f t="shared" ref="R68:R75" si="12">+P68/M68</f>
        <v>529.91507430997876</v>
      </c>
      <c r="S68" s="297">
        <f t="shared" ref="S68:S75" si="13">+(P68-P67)/(M68-M67)</f>
        <v>568.51694915254211</v>
      </c>
    </row>
    <row r="69" spans="1:19" x14ac:dyDescent="0.25">
      <c r="A69" s="288">
        <v>9</v>
      </c>
      <c r="B69" s="287" t="s">
        <v>816</v>
      </c>
      <c r="C69" s="288">
        <v>170.5</v>
      </c>
      <c r="D69" s="295">
        <v>57898</v>
      </c>
      <c r="E69" s="295">
        <v>30396</v>
      </c>
      <c r="F69" s="296">
        <f t="shared" si="8"/>
        <v>88294</v>
      </c>
      <c r="G69" s="297">
        <v>517.85337243401761</v>
      </c>
      <c r="H69" s="297">
        <f t="shared" si="10"/>
        <v>517.85337243401761</v>
      </c>
      <c r="I69" s="297">
        <f t="shared" si="11"/>
        <v>459.48630136986321</v>
      </c>
      <c r="K69" s="288">
        <v>9</v>
      </c>
      <c r="L69" s="287" t="s">
        <v>816</v>
      </c>
      <c r="M69" s="288">
        <v>170.5</v>
      </c>
      <c r="N69" s="295">
        <v>57898</v>
      </c>
      <c r="O69" s="295">
        <v>30396</v>
      </c>
      <c r="P69" s="296">
        <f t="shared" si="9"/>
        <v>88294</v>
      </c>
      <c r="Q69" s="297">
        <v>517.85337243401761</v>
      </c>
      <c r="R69" s="297">
        <f t="shared" si="12"/>
        <v>517.85337243401761</v>
      </c>
      <c r="S69" s="297">
        <f t="shared" si="13"/>
        <v>459.48630136986321</v>
      </c>
    </row>
    <row r="70" spans="1:19" x14ac:dyDescent="0.25">
      <c r="A70" s="288">
        <v>10</v>
      </c>
      <c r="B70" s="287" t="s">
        <v>818</v>
      </c>
      <c r="C70" s="288">
        <v>206.3</v>
      </c>
      <c r="D70" s="295">
        <v>64452</v>
      </c>
      <c r="E70" s="295">
        <v>43647</v>
      </c>
      <c r="F70" s="296">
        <f t="shared" si="8"/>
        <v>108099</v>
      </c>
      <c r="G70" s="297">
        <v>523.98933591856519</v>
      </c>
      <c r="H70" s="297">
        <f t="shared" si="10"/>
        <v>523.98933591856519</v>
      </c>
      <c r="I70" s="297">
        <f t="shared" si="11"/>
        <v>553.21229050279317</v>
      </c>
      <c r="K70" s="288">
        <v>10</v>
      </c>
      <c r="L70" s="287" t="s">
        <v>818</v>
      </c>
      <c r="M70" s="288">
        <v>206.3</v>
      </c>
      <c r="N70" s="295">
        <v>64452</v>
      </c>
      <c r="O70" s="295">
        <v>43647</v>
      </c>
      <c r="P70" s="296">
        <f t="shared" si="9"/>
        <v>108099</v>
      </c>
      <c r="Q70" s="297">
        <v>523.98933591856519</v>
      </c>
      <c r="R70" s="297">
        <f t="shared" si="12"/>
        <v>523.98933591856519</v>
      </c>
      <c r="S70" s="297">
        <f t="shared" si="13"/>
        <v>553.21229050279317</v>
      </c>
    </row>
    <row r="71" spans="1:19" x14ac:dyDescent="0.25">
      <c r="A71" s="288">
        <v>11</v>
      </c>
      <c r="B71" s="287" t="s">
        <v>964</v>
      </c>
      <c r="C71" s="288">
        <v>251.9</v>
      </c>
      <c r="D71" s="295">
        <v>77869</v>
      </c>
      <c r="E71" s="295">
        <v>43647</v>
      </c>
      <c r="F71" s="296">
        <f t="shared" si="8"/>
        <v>121516</v>
      </c>
      <c r="G71" s="297">
        <v>482.39777689559349</v>
      </c>
      <c r="H71" s="297">
        <f t="shared" si="10"/>
        <v>482.39777689559349</v>
      </c>
      <c r="I71" s="297">
        <f t="shared" si="11"/>
        <v>294.23245614035091</v>
      </c>
      <c r="K71" s="288">
        <v>11</v>
      </c>
      <c r="L71" s="287" t="s">
        <v>964</v>
      </c>
      <c r="M71" s="288">
        <v>251.9</v>
      </c>
      <c r="N71" s="295">
        <v>77869</v>
      </c>
      <c r="O71" s="295">
        <v>43647</v>
      </c>
      <c r="P71" s="296">
        <f t="shared" si="9"/>
        <v>121516</v>
      </c>
      <c r="Q71" s="297">
        <v>482.39777689559349</v>
      </c>
      <c r="R71" s="297">
        <f t="shared" si="12"/>
        <v>482.39777689559349</v>
      </c>
      <c r="S71" s="297">
        <f t="shared" si="13"/>
        <v>294.23245614035091</v>
      </c>
    </row>
    <row r="72" spans="1:19" x14ac:dyDescent="0.25">
      <c r="A72" s="288">
        <v>12</v>
      </c>
      <c r="B72" s="287" t="s">
        <v>965</v>
      </c>
      <c r="C72" s="288">
        <v>333.3</v>
      </c>
      <c r="D72" s="295">
        <v>89227.1</v>
      </c>
      <c r="E72" s="295">
        <v>43647</v>
      </c>
      <c r="F72" s="296">
        <f t="shared" si="8"/>
        <v>132874.1</v>
      </c>
      <c r="G72" s="297">
        <v>398.66216621662164</v>
      </c>
      <c r="H72" s="297">
        <f t="shared" si="10"/>
        <v>398.66216621662164</v>
      </c>
      <c r="I72" s="297">
        <f t="shared" si="11"/>
        <v>139.53439803439809</v>
      </c>
      <c r="K72" s="288">
        <v>12</v>
      </c>
      <c r="L72" s="287" t="s">
        <v>965</v>
      </c>
      <c r="M72" s="288">
        <v>333.3</v>
      </c>
      <c r="N72" s="295">
        <v>89227.1</v>
      </c>
      <c r="O72" s="295">
        <v>43647</v>
      </c>
      <c r="P72" s="296">
        <f t="shared" si="9"/>
        <v>132874.1</v>
      </c>
      <c r="Q72" s="297">
        <v>398.66216621662164</v>
      </c>
      <c r="R72" s="297">
        <f t="shared" si="12"/>
        <v>398.66216621662164</v>
      </c>
      <c r="S72" s="297">
        <f t="shared" si="13"/>
        <v>139.53439803439809</v>
      </c>
    </row>
    <row r="73" spans="1:19" x14ac:dyDescent="0.25">
      <c r="A73" s="288">
        <v>13</v>
      </c>
      <c r="B73" s="287" t="s">
        <v>966</v>
      </c>
      <c r="C73" s="288">
        <v>450.3</v>
      </c>
      <c r="D73" s="295">
        <v>100585.2</v>
      </c>
      <c r="E73" s="295">
        <v>43647</v>
      </c>
      <c r="F73" s="296">
        <f t="shared" si="8"/>
        <v>144232.20000000001</v>
      </c>
      <c r="G73" s="297">
        <v>320.30246502331778</v>
      </c>
      <c r="H73" s="297">
        <f t="shared" si="10"/>
        <v>320.30246502331778</v>
      </c>
      <c r="I73" s="297">
        <f t="shared" si="11"/>
        <v>97.077777777777825</v>
      </c>
      <c r="K73" s="288">
        <v>13</v>
      </c>
      <c r="L73" s="287" t="s">
        <v>966</v>
      </c>
      <c r="M73" s="288">
        <v>450.3</v>
      </c>
      <c r="N73" s="295">
        <v>100585.2</v>
      </c>
      <c r="O73" s="295">
        <v>43647</v>
      </c>
      <c r="P73" s="296">
        <f t="shared" si="9"/>
        <v>144232.20000000001</v>
      </c>
      <c r="Q73" s="297">
        <v>320.30246502331778</v>
      </c>
      <c r="R73" s="297">
        <f t="shared" si="12"/>
        <v>320.30246502331778</v>
      </c>
      <c r="S73" s="297">
        <f t="shared" si="13"/>
        <v>97.077777777777825</v>
      </c>
    </row>
    <row r="74" spans="1:19" x14ac:dyDescent="0.25">
      <c r="A74" s="288">
        <v>14</v>
      </c>
      <c r="B74" s="287" t="s">
        <v>967</v>
      </c>
      <c r="C74" s="288">
        <v>679.5</v>
      </c>
      <c r="D74" s="295">
        <v>111943.3</v>
      </c>
      <c r="E74" s="295">
        <v>43647</v>
      </c>
      <c r="F74" s="296">
        <f t="shared" si="8"/>
        <v>155590.29999999999</v>
      </c>
      <c r="G74" s="297">
        <v>228.97763061074318</v>
      </c>
      <c r="H74" s="297">
        <f t="shared" si="10"/>
        <v>228.97763061074318</v>
      </c>
      <c r="I74" s="297">
        <f t="shared" si="11"/>
        <v>49.555410122163948</v>
      </c>
      <c r="K74" s="288">
        <v>14</v>
      </c>
      <c r="L74" s="287" t="s">
        <v>967</v>
      </c>
      <c r="M74" s="288">
        <v>679.5</v>
      </c>
      <c r="N74" s="295">
        <v>111943.3</v>
      </c>
      <c r="O74" s="295">
        <v>43647</v>
      </c>
      <c r="P74" s="296">
        <f t="shared" si="9"/>
        <v>155590.29999999999</v>
      </c>
      <c r="Q74" s="297">
        <v>228.97763061074318</v>
      </c>
      <c r="R74" s="297">
        <f t="shared" si="12"/>
        <v>228.97763061074318</v>
      </c>
      <c r="S74" s="297">
        <f t="shared" si="13"/>
        <v>49.555410122163948</v>
      </c>
    </row>
    <row r="75" spans="1:19" x14ac:dyDescent="0.25">
      <c r="A75" s="288">
        <v>15</v>
      </c>
      <c r="B75" s="287" t="s">
        <v>968</v>
      </c>
      <c r="C75" s="288">
        <v>872.2</v>
      </c>
      <c r="D75" s="295">
        <v>123301.4</v>
      </c>
      <c r="E75" s="295">
        <v>43647</v>
      </c>
      <c r="F75" s="296">
        <f t="shared" si="8"/>
        <v>166948.4</v>
      </c>
      <c r="G75" s="297">
        <v>191.41068562256362</v>
      </c>
      <c r="H75" s="297">
        <f t="shared" si="10"/>
        <v>191.41068562256362</v>
      </c>
      <c r="I75" s="297">
        <f t="shared" si="11"/>
        <v>58.941878567721865</v>
      </c>
      <c r="K75" s="288">
        <v>15</v>
      </c>
      <c r="L75" s="287" t="s">
        <v>968</v>
      </c>
      <c r="M75" s="288">
        <v>872.2</v>
      </c>
      <c r="N75" s="295">
        <v>123301.4</v>
      </c>
      <c r="O75" s="295">
        <v>43647</v>
      </c>
      <c r="P75" s="296">
        <f t="shared" si="9"/>
        <v>166948.4</v>
      </c>
      <c r="Q75" s="297">
        <v>191.41068562256362</v>
      </c>
      <c r="R75" s="297">
        <f t="shared" si="12"/>
        <v>191.41068562256362</v>
      </c>
      <c r="S75" s="297">
        <f t="shared" si="13"/>
        <v>58.941878567721865</v>
      </c>
    </row>
    <row r="77" spans="1:19" ht="12.75" customHeight="1" x14ac:dyDescent="0.25">
      <c r="A77" s="2170" t="s">
        <v>1937</v>
      </c>
      <c r="B77" s="2171"/>
      <c r="C77" s="2171"/>
      <c r="D77" s="2171"/>
      <c r="E77" s="2171"/>
      <c r="F77" s="2171"/>
      <c r="G77" s="2171"/>
      <c r="H77" s="2171"/>
      <c r="I77" s="2171"/>
      <c r="K77" s="2181" t="s">
        <v>1937</v>
      </c>
      <c r="L77" s="2182"/>
      <c r="M77" s="2182"/>
      <c r="N77" s="2182"/>
      <c r="O77" s="2182"/>
      <c r="P77" s="2182"/>
      <c r="Q77" s="2182"/>
      <c r="R77" s="2182"/>
      <c r="S77" s="2183"/>
    </row>
    <row r="78" spans="1:19" ht="26.4" x14ac:dyDescent="0.25">
      <c r="A78" s="77" t="s">
        <v>1926</v>
      </c>
      <c r="B78" s="288" t="s">
        <v>1927</v>
      </c>
      <c r="C78" s="77" t="s">
        <v>1928</v>
      </c>
      <c r="D78" s="1637" t="s">
        <v>1929</v>
      </c>
      <c r="E78" s="1637"/>
      <c r="F78" s="1637"/>
      <c r="G78" s="2172" t="s">
        <v>1930</v>
      </c>
      <c r="H78" s="2173"/>
      <c r="I78" s="2174"/>
      <c r="K78" s="77" t="s">
        <v>1926</v>
      </c>
      <c r="L78" s="288" t="s">
        <v>1927</v>
      </c>
      <c r="M78" s="77" t="s">
        <v>1928</v>
      </c>
      <c r="N78" s="1637" t="s">
        <v>1929</v>
      </c>
      <c r="O78" s="1637"/>
      <c r="P78" s="1637"/>
      <c r="Q78" s="2172" t="s">
        <v>1930</v>
      </c>
      <c r="R78" s="2173"/>
      <c r="S78" s="2174"/>
    </row>
    <row r="79" spans="1:19" x14ac:dyDescent="0.25">
      <c r="A79" s="288"/>
      <c r="B79" s="292"/>
      <c r="C79" s="288"/>
      <c r="D79" s="288" t="s">
        <v>1931</v>
      </c>
      <c r="E79" s="288" t="s">
        <v>1932</v>
      </c>
      <c r="F79" s="288" t="s">
        <v>1933</v>
      </c>
      <c r="G79" s="77" t="s">
        <v>89</v>
      </c>
      <c r="H79" s="284" t="s">
        <v>1934</v>
      </c>
      <c r="I79" s="77" t="s">
        <v>1935</v>
      </c>
      <c r="K79" s="288"/>
      <c r="L79" s="292"/>
      <c r="M79" s="288"/>
      <c r="N79" s="288" t="s">
        <v>1931</v>
      </c>
      <c r="O79" s="288" t="s">
        <v>1932</v>
      </c>
      <c r="P79" s="288" t="s">
        <v>1933</v>
      </c>
      <c r="Q79" s="77" t="s">
        <v>89</v>
      </c>
      <c r="R79" s="284" t="s">
        <v>1934</v>
      </c>
      <c r="S79" s="77" t="s">
        <v>1935</v>
      </c>
    </row>
    <row r="80" spans="1:19" x14ac:dyDescent="0.25">
      <c r="A80" s="288">
        <v>7</v>
      </c>
      <c r="B80" s="287" t="s">
        <v>598</v>
      </c>
      <c r="C80" s="288">
        <v>117.7</v>
      </c>
      <c r="D80" s="295">
        <v>39653</v>
      </c>
      <c r="E80" s="295">
        <v>26685</v>
      </c>
      <c r="F80" s="296">
        <f t="shared" ref="F80:F88" si="14">+D80+E80</f>
        <v>66338</v>
      </c>
      <c r="G80" s="297">
        <v>563.61937128292266</v>
      </c>
      <c r="H80" s="297">
        <f>+F80/C80</f>
        <v>563.61937128292266</v>
      </c>
      <c r="I80" s="297">
        <f>+F80/C80</f>
        <v>563.61937128292266</v>
      </c>
      <c r="K80" s="288">
        <v>7</v>
      </c>
      <c r="L80" s="287" t="s">
        <v>598</v>
      </c>
      <c r="M80" s="288">
        <v>117.7</v>
      </c>
      <c r="N80" s="295">
        <v>39653</v>
      </c>
      <c r="O80" s="295">
        <v>26685</v>
      </c>
      <c r="P80" s="296">
        <f t="shared" ref="P80:P88" si="15">+N80+O80</f>
        <v>66338</v>
      </c>
      <c r="Q80" s="297">
        <v>563.61937128292266</v>
      </c>
      <c r="R80" s="297">
        <f>+P80/M80</f>
        <v>563.61937128292266</v>
      </c>
      <c r="S80" s="297">
        <f>+P80/M80</f>
        <v>563.61937128292266</v>
      </c>
    </row>
    <row r="81" spans="1:19" x14ac:dyDescent="0.25">
      <c r="A81" s="288">
        <v>8</v>
      </c>
      <c r="B81" s="287" t="s">
        <v>814</v>
      </c>
      <c r="C81" s="288">
        <v>141.30000000000001</v>
      </c>
      <c r="D81" s="295">
        <v>45179</v>
      </c>
      <c r="E81" s="295">
        <v>26685</v>
      </c>
      <c r="F81" s="296">
        <f t="shared" si="14"/>
        <v>71864</v>
      </c>
      <c r="G81" s="297">
        <v>508.59164897381453</v>
      </c>
      <c r="H81" s="297">
        <f t="shared" ref="H81:H88" si="16">+F81/C81</f>
        <v>508.59164897381453</v>
      </c>
      <c r="I81" s="297">
        <f t="shared" ref="I81:I88" si="17">+(F81-F80)/(C81-C80)</f>
        <v>234.15254237288127</v>
      </c>
      <c r="K81" s="288">
        <v>8</v>
      </c>
      <c r="L81" s="287" t="s">
        <v>814</v>
      </c>
      <c r="M81" s="288">
        <v>141.30000000000001</v>
      </c>
      <c r="N81" s="295">
        <v>45179</v>
      </c>
      <c r="O81" s="295">
        <v>26685</v>
      </c>
      <c r="P81" s="296">
        <f t="shared" si="15"/>
        <v>71864</v>
      </c>
      <c r="Q81" s="297">
        <v>508.59164897381453</v>
      </c>
      <c r="R81" s="297">
        <f t="shared" ref="R81:R88" si="18">+P81/M81</f>
        <v>508.59164897381453</v>
      </c>
      <c r="S81" s="297">
        <f t="shared" ref="S81:S88" si="19">+(P81-P80)/(M81-M80)</f>
        <v>234.15254237288127</v>
      </c>
    </row>
    <row r="82" spans="1:19" x14ac:dyDescent="0.25">
      <c r="A82" s="288">
        <v>9</v>
      </c>
      <c r="B82" s="287" t="s">
        <v>816</v>
      </c>
      <c r="C82" s="288">
        <v>170.5</v>
      </c>
      <c r="D82" s="295">
        <v>50705</v>
      </c>
      <c r="E82" s="295">
        <v>26685</v>
      </c>
      <c r="F82" s="296">
        <f t="shared" si="14"/>
        <v>77390</v>
      </c>
      <c r="G82" s="297">
        <v>453.90029325513194</v>
      </c>
      <c r="H82" s="297">
        <f t="shared" si="16"/>
        <v>453.90029325513194</v>
      </c>
      <c r="I82" s="297">
        <f t="shared" si="17"/>
        <v>189.24657534246583</v>
      </c>
      <c r="K82" s="288">
        <v>9</v>
      </c>
      <c r="L82" s="287" t="s">
        <v>816</v>
      </c>
      <c r="M82" s="288">
        <v>170.5</v>
      </c>
      <c r="N82" s="295">
        <v>50705</v>
      </c>
      <c r="O82" s="295">
        <v>26685</v>
      </c>
      <c r="P82" s="296">
        <f t="shared" si="15"/>
        <v>77390</v>
      </c>
      <c r="Q82" s="297">
        <v>453.90029325513194</v>
      </c>
      <c r="R82" s="297">
        <f t="shared" si="18"/>
        <v>453.90029325513194</v>
      </c>
      <c r="S82" s="297">
        <f t="shared" si="19"/>
        <v>189.24657534246583</v>
      </c>
    </row>
    <row r="83" spans="1:19" x14ac:dyDescent="0.25">
      <c r="A83" s="288">
        <v>10</v>
      </c>
      <c r="B83" s="287" t="s">
        <v>818</v>
      </c>
      <c r="C83" s="288">
        <v>206.3</v>
      </c>
      <c r="D83" s="295">
        <v>69692</v>
      </c>
      <c r="E83" s="295">
        <v>37067</v>
      </c>
      <c r="F83" s="296">
        <f t="shared" si="14"/>
        <v>106759</v>
      </c>
      <c r="G83" s="297">
        <v>517.49394086282109</v>
      </c>
      <c r="H83" s="297">
        <f t="shared" si="16"/>
        <v>517.49394086282109</v>
      </c>
      <c r="I83" s="297">
        <f t="shared" si="17"/>
        <v>820.36312849161982</v>
      </c>
      <c r="K83" s="288">
        <v>10</v>
      </c>
      <c r="L83" s="287" t="s">
        <v>818</v>
      </c>
      <c r="M83" s="288">
        <v>206.3</v>
      </c>
      <c r="N83" s="295">
        <v>69692</v>
      </c>
      <c r="O83" s="295">
        <v>37067</v>
      </c>
      <c r="P83" s="296">
        <f t="shared" si="15"/>
        <v>106759</v>
      </c>
      <c r="Q83" s="297">
        <v>517.49394086282109</v>
      </c>
      <c r="R83" s="297">
        <f t="shared" si="18"/>
        <v>517.49394086282109</v>
      </c>
      <c r="S83" s="297">
        <f t="shared" si="19"/>
        <v>820.36312849161982</v>
      </c>
    </row>
    <row r="84" spans="1:19" x14ac:dyDescent="0.25">
      <c r="A84" s="288">
        <v>11</v>
      </c>
      <c r="B84" s="287" t="s">
        <v>964</v>
      </c>
      <c r="C84" s="288">
        <v>251.9</v>
      </c>
      <c r="D84" s="295">
        <v>75218</v>
      </c>
      <c r="E84" s="295">
        <v>37067</v>
      </c>
      <c r="F84" s="296">
        <f t="shared" si="14"/>
        <v>112285</v>
      </c>
      <c r="G84" s="297">
        <v>445.75228265184597</v>
      </c>
      <c r="H84" s="297">
        <f t="shared" si="16"/>
        <v>445.75228265184597</v>
      </c>
      <c r="I84" s="297">
        <f t="shared" si="17"/>
        <v>121.18421052631581</v>
      </c>
      <c r="K84" s="288">
        <v>11</v>
      </c>
      <c r="L84" s="287" t="s">
        <v>964</v>
      </c>
      <c r="M84" s="288">
        <v>251.9</v>
      </c>
      <c r="N84" s="295">
        <v>75218</v>
      </c>
      <c r="O84" s="295">
        <v>37067</v>
      </c>
      <c r="P84" s="296">
        <f t="shared" si="15"/>
        <v>112285</v>
      </c>
      <c r="Q84" s="297">
        <v>445.75228265184597</v>
      </c>
      <c r="R84" s="297">
        <f t="shared" si="18"/>
        <v>445.75228265184597</v>
      </c>
      <c r="S84" s="297">
        <f t="shared" si="19"/>
        <v>121.18421052631581</v>
      </c>
    </row>
    <row r="85" spans="1:19" x14ac:dyDescent="0.25">
      <c r="A85" s="288">
        <v>12</v>
      </c>
      <c r="B85" s="287" t="s">
        <v>965</v>
      </c>
      <c r="C85" s="288">
        <v>333.3</v>
      </c>
      <c r="D85" s="295">
        <v>84782.3</v>
      </c>
      <c r="E85" s="295">
        <v>37067</v>
      </c>
      <c r="F85" s="296">
        <f t="shared" si="14"/>
        <v>121849.3</v>
      </c>
      <c r="G85" s="297">
        <v>365.58445844584458</v>
      </c>
      <c r="H85" s="297">
        <f t="shared" si="16"/>
        <v>365.58445844584458</v>
      </c>
      <c r="I85" s="297">
        <f t="shared" si="17"/>
        <v>117.49754299754302</v>
      </c>
      <c r="K85" s="288">
        <v>12</v>
      </c>
      <c r="L85" s="287" t="s">
        <v>965</v>
      </c>
      <c r="M85" s="288">
        <v>333.3</v>
      </c>
      <c r="N85" s="295">
        <v>84782.3</v>
      </c>
      <c r="O85" s="295">
        <v>37067</v>
      </c>
      <c r="P85" s="296">
        <f t="shared" si="15"/>
        <v>121849.3</v>
      </c>
      <c r="Q85" s="297">
        <v>365.58445844584458</v>
      </c>
      <c r="R85" s="297">
        <f t="shared" si="18"/>
        <v>365.58445844584458</v>
      </c>
      <c r="S85" s="297">
        <f t="shared" si="19"/>
        <v>117.49754299754302</v>
      </c>
    </row>
    <row r="86" spans="1:19" x14ac:dyDescent="0.25">
      <c r="A86" s="288">
        <v>13</v>
      </c>
      <c r="B86" s="287" t="s">
        <v>966</v>
      </c>
      <c r="C86" s="288">
        <v>450.3</v>
      </c>
      <c r="D86" s="295">
        <v>94346.6</v>
      </c>
      <c r="E86" s="295">
        <v>37067</v>
      </c>
      <c r="F86" s="296">
        <f t="shared" si="14"/>
        <v>131413.6</v>
      </c>
      <c r="G86" s="297">
        <v>291.83566511214747</v>
      </c>
      <c r="H86" s="297">
        <f t="shared" si="16"/>
        <v>291.83566511214747</v>
      </c>
      <c r="I86" s="297">
        <f t="shared" si="17"/>
        <v>81.746153846153874</v>
      </c>
      <c r="K86" s="288">
        <v>13</v>
      </c>
      <c r="L86" s="287" t="s">
        <v>966</v>
      </c>
      <c r="M86" s="288">
        <v>450.3</v>
      </c>
      <c r="N86" s="295">
        <v>94346.6</v>
      </c>
      <c r="O86" s="295">
        <v>37067</v>
      </c>
      <c r="P86" s="296">
        <f t="shared" si="15"/>
        <v>131413.6</v>
      </c>
      <c r="Q86" s="297">
        <v>291.83566511214747</v>
      </c>
      <c r="R86" s="297">
        <f t="shared" si="18"/>
        <v>291.83566511214747</v>
      </c>
      <c r="S86" s="297">
        <f t="shared" si="19"/>
        <v>81.746153846153874</v>
      </c>
    </row>
    <row r="87" spans="1:19" x14ac:dyDescent="0.25">
      <c r="A87" s="288">
        <v>14</v>
      </c>
      <c r="B87" s="287" t="s">
        <v>967</v>
      </c>
      <c r="C87" s="288">
        <v>679.5</v>
      </c>
      <c r="D87" s="295">
        <v>103910.9</v>
      </c>
      <c r="E87" s="295">
        <v>37067</v>
      </c>
      <c r="F87" s="296">
        <f t="shared" si="14"/>
        <v>140977.9</v>
      </c>
      <c r="G87" s="297">
        <v>207.47299484915379</v>
      </c>
      <c r="H87" s="297">
        <f t="shared" si="16"/>
        <v>207.47299484915379</v>
      </c>
      <c r="I87" s="297">
        <f t="shared" si="17"/>
        <v>41.72905759162299</v>
      </c>
      <c r="K87" s="288">
        <v>14</v>
      </c>
      <c r="L87" s="287" t="s">
        <v>967</v>
      </c>
      <c r="M87" s="288">
        <v>679.5</v>
      </c>
      <c r="N87" s="295">
        <v>103910.9</v>
      </c>
      <c r="O87" s="295">
        <v>37067</v>
      </c>
      <c r="P87" s="296">
        <f t="shared" si="15"/>
        <v>140977.9</v>
      </c>
      <c r="Q87" s="297">
        <v>207.47299484915379</v>
      </c>
      <c r="R87" s="297">
        <f t="shared" si="18"/>
        <v>207.47299484915379</v>
      </c>
      <c r="S87" s="297">
        <f t="shared" si="19"/>
        <v>41.72905759162299</v>
      </c>
    </row>
    <row r="88" spans="1:19" x14ac:dyDescent="0.25">
      <c r="A88" s="288">
        <v>15</v>
      </c>
      <c r="B88" s="287" t="s">
        <v>968</v>
      </c>
      <c r="C88" s="288">
        <v>872.2</v>
      </c>
      <c r="D88" s="295">
        <v>113475.2</v>
      </c>
      <c r="E88" s="295">
        <v>37067</v>
      </c>
      <c r="F88" s="296">
        <f t="shared" si="14"/>
        <v>150542.20000000001</v>
      </c>
      <c r="G88" s="297">
        <v>172.60055033249256</v>
      </c>
      <c r="H88" s="297">
        <f t="shared" si="16"/>
        <v>172.60055033249256</v>
      </c>
      <c r="I88" s="297">
        <f t="shared" si="17"/>
        <v>49.633108458744239</v>
      </c>
      <c r="K88" s="288">
        <v>15</v>
      </c>
      <c r="L88" s="287" t="s">
        <v>968</v>
      </c>
      <c r="M88" s="288">
        <v>872.2</v>
      </c>
      <c r="N88" s="295">
        <v>113475.2</v>
      </c>
      <c r="O88" s="295">
        <v>37067</v>
      </c>
      <c r="P88" s="296">
        <f t="shared" si="15"/>
        <v>150542.20000000001</v>
      </c>
      <c r="Q88" s="297">
        <v>172.60055033249256</v>
      </c>
      <c r="R88" s="297">
        <f t="shared" si="18"/>
        <v>172.60055033249256</v>
      </c>
      <c r="S88" s="297">
        <f t="shared" si="19"/>
        <v>49.633108458744239</v>
      </c>
    </row>
    <row r="90" spans="1:19" ht="12.75" customHeight="1" x14ac:dyDescent="0.25">
      <c r="A90" s="2170" t="s">
        <v>1938</v>
      </c>
      <c r="B90" s="2171"/>
      <c r="C90" s="2171"/>
      <c r="D90" s="2171"/>
      <c r="E90" s="2171"/>
      <c r="F90" s="2171"/>
      <c r="G90" s="2171"/>
      <c r="H90" s="2171"/>
      <c r="I90" s="2171"/>
      <c r="K90" s="2170" t="s">
        <v>1938</v>
      </c>
      <c r="L90" s="2171"/>
      <c r="M90" s="2171"/>
      <c r="N90" s="2171"/>
      <c r="O90" s="2171"/>
      <c r="P90" s="2171"/>
      <c r="Q90" s="2171"/>
      <c r="R90" s="2171"/>
      <c r="S90" s="2171"/>
    </row>
    <row r="91" spans="1:19" ht="26.4" x14ac:dyDescent="0.25">
      <c r="A91" s="77" t="s">
        <v>1926</v>
      </c>
      <c r="B91" s="288" t="s">
        <v>1927</v>
      </c>
      <c r="C91" s="77" t="s">
        <v>1928</v>
      </c>
      <c r="D91" s="1637" t="s">
        <v>1929</v>
      </c>
      <c r="E91" s="1637"/>
      <c r="F91" s="1637"/>
      <c r="G91" s="2172" t="s">
        <v>1930</v>
      </c>
      <c r="H91" s="2173"/>
      <c r="I91" s="2174"/>
      <c r="K91" s="77" t="s">
        <v>1926</v>
      </c>
      <c r="L91" s="288" t="s">
        <v>1927</v>
      </c>
      <c r="M91" s="77" t="s">
        <v>1928</v>
      </c>
      <c r="N91" s="1637" t="s">
        <v>1929</v>
      </c>
      <c r="O91" s="1637"/>
      <c r="P91" s="1637"/>
      <c r="Q91" s="2172" t="s">
        <v>1930</v>
      </c>
      <c r="R91" s="2173"/>
      <c r="S91" s="2174"/>
    </row>
    <row r="92" spans="1:19" x14ac:dyDescent="0.25">
      <c r="A92" s="288"/>
      <c r="B92" s="292"/>
      <c r="C92" s="288"/>
      <c r="D92" s="288" t="s">
        <v>1931</v>
      </c>
      <c r="E92" s="288" t="s">
        <v>1932</v>
      </c>
      <c r="F92" s="288" t="s">
        <v>1933</v>
      </c>
      <c r="G92" s="77" t="s">
        <v>89</v>
      </c>
      <c r="H92" s="284" t="s">
        <v>1934</v>
      </c>
      <c r="I92" s="77" t="s">
        <v>1935</v>
      </c>
      <c r="K92" s="288"/>
      <c r="L92" s="292"/>
      <c r="M92" s="288"/>
      <c r="N92" s="288" t="s">
        <v>1931</v>
      </c>
      <c r="O92" s="288" t="s">
        <v>1932</v>
      </c>
      <c r="P92" s="288" t="s">
        <v>1933</v>
      </c>
      <c r="Q92" s="77" t="s">
        <v>89</v>
      </c>
      <c r="R92" s="284" t="s">
        <v>1934</v>
      </c>
      <c r="S92" s="77" t="s">
        <v>1935</v>
      </c>
    </row>
    <row r="93" spans="1:19" x14ac:dyDescent="0.25">
      <c r="A93" s="288">
        <v>7</v>
      </c>
      <c r="B93" s="287" t="s">
        <v>598</v>
      </c>
      <c r="C93" s="288">
        <v>117.7</v>
      </c>
      <c r="D93" s="295">
        <v>57676</v>
      </c>
      <c r="E93" s="295">
        <v>21189</v>
      </c>
      <c r="F93" s="296">
        <f t="shared" ref="F93:F101" si="20">+D93+E93</f>
        <v>78865</v>
      </c>
      <c r="G93" s="297">
        <v>670.05097706032279</v>
      </c>
      <c r="H93" s="297">
        <f>+F93/C93</f>
        <v>670.05097706032279</v>
      </c>
      <c r="I93" s="297">
        <f>+F93/C93</f>
        <v>670.05097706032279</v>
      </c>
      <c r="K93" s="288">
        <v>7</v>
      </c>
      <c r="L93" s="287" t="s">
        <v>598</v>
      </c>
      <c r="M93" s="288">
        <v>117.7</v>
      </c>
      <c r="N93" s="295">
        <v>57676</v>
      </c>
      <c r="O93" s="295">
        <v>21189</v>
      </c>
      <c r="P93" s="296">
        <f t="shared" ref="P93:P101" si="21">+N93+O93</f>
        <v>78865</v>
      </c>
      <c r="Q93" s="297">
        <v>437.06881903143585</v>
      </c>
      <c r="R93" s="297">
        <v>670.05097706032279</v>
      </c>
      <c r="S93" s="297">
        <f>+P93/M93</f>
        <v>670.05097706032279</v>
      </c>
    </row>
    <row r="94" spans="1:19" x14ac:dyDescent="0.25">
      <c r="A94" s="288">
        <v>8</v>
      </c>
      <c r="B94" s="287" t="s">
        <v>814</v>
      </c>
      <c r="C94" s="288">
        <v>141.30000000000001</v>
      </c>
      <c r="D94" s="295">
        <v>65126</v>
      </c>
      <c r="E94" s="295">
        <v>21189</v>
      </c>
      <c r="F94" s="296">
        <f t="shared" si="20"/>
        <v>86315</v>
      </c>
      <c r="G94" s="297">
        <v>610.8634111818825</v>
      </c>
      <c r="H94" s="297">
        <f t="shared" ref="H94:H101" si="22">+F94/C94</f>
        <v>610.8634111818825</v>
      </c>
      <c r="I94" s="297">
        <f t="shared" ref="I94:I101" si="23">+(F94-F93)/(C94-C93)</f>
        <v>315.67796610169478</v>
      </c>
      <c r="K94" s="288">
        <v>8</v>
      </c>
      <c r="L94" s="287" t="s">
        <v>814</v>
      </c>
      <c r="M94" s="288">
        <v>141.30000000000001</v>
      </c>
      <c r="N94" s="295">
        <v>65126</v>
      </c>
      <c r="O94" s="295">
        <v>21189</v>
      </c>
      <c r="P94" s="296">
        <f t="shared" si="21"/>
        <v>86315</v>
      </c>
      <c r="Q94" s="297">
        <v>398.74734607218682</v>
      </c>
      <c r="R94" s="297">
        <v>610.8634111818825</v>
      </c>
      <c r="S94" s="297">
        <f t="shared" ref="S94:S101" si="24">+(P94-P93)/(M94-M93)</f>
        <v>315.67796610169478</v>
      </c>
    </row>
    <row r="95" spans="1:19" x14ac:dyDescent="0.25">
      <c r="A95" s="288">
        <v>9</v>
      </c>
      <c r="B95" s="287" t="s">
        <v>816</v>
      </c>
      <c r="C95" s="288">
        <v>170.5</v>
      </c>
      <c r="D95" s="295">
        <v>72576</v>
      </c>
      <c r="E95" s="295">
        <v>21189</v>
      </c>
      <c r="F95" s="296">
        <f t="shared" si="20"/>
        <v>93765</v>
      </c>
      <c r="G95" s="297">
        <v>549.94134897360709</v>
      </c>
      <c r="H95" s="297">
        <f t="shared" si="22"/>
        <v>549.94134897360709</v>
      </c>
      <c r="I95" s="297">
        <f t="shared" si="23"/>
        <v>255.13698630136997</v>
      </c>
      <c r="K95" s="288">
        <v>9</v>
      </c>
      <c r="L95" s="287" t="s">
        <v>816</v>
      </c>
      <c r="M95" s="288">
        <v>170.5</v>
      </c>
      <c r="N95" s="295">
        <v>72576</v>
      </c>
      <c r="O95" s="295">
        <v>21189</v>
      </c>
      <c r="P95" s="296">
        <f t="shared" si="21"/>
        <v>93765</v>
      </c>
      <c r="Q95" s="297">
        <v>370.73607038123168</v>
      </c>
      <c r="R95" s="297">
        <v>549.94134897360709</v>
      </c>
      <c r="S95" s="297">
        <f t="shared" si="24"/>
        <v>255.13698630136997</v>
      </c>
    </row>
    <row r="96" spans="1:19" x14ac:dyDescent="0.25">
      <c r="A96" s="288">
        <v>10</v>
      </c>
      <c r="B96" s="287" t="s">
        <v>818</v>
      </c>
      <c r="C96" s="288">
        <v>206.3</v>
      </c>
      <c r="D96" s="295">
        <v>91587</v>
      </c>
      <c r="E96" s="295">
        <v>24973</v>
      </c>
      <c r="F96" s="296">
        <f t="shared" si="20"/>
        <v>116560</v>
      </c>
      <c r="G96" s="297">
        <v>565.00242365487156</v>
      </c>
      <c r="H96" s="297">
        <f t="shared" si="22"/>
        <v>565.00242365487156</v>
      </c>
      <c r="I96" s="297">
        <f t="shared" si="23"/>
        <v>636.73184357541879</v>
      </c>
      <c r="K96" s="288">
        <v>10</v>
      </c>
      <c r="L96" s="287" t="s">
        <v>818</v>
      </c>
      <c r="M96" s="288">
        <v>206.3</v>
      </c>
      <c r="N96" s="295">
        <v>91587</v>
      </c>
      <c r="O96" s="295">
        <v>24973</v>
      </c>
      <c r="P96" s="296">
        <f t="shared" si="21"/>
        <v>116560</v>
      </c>
      <c r="Q96" s="297">
        <v>339.68977217644203</v>
      </c>
      <c r="R96" s="297">
        <v>565.00242365487156</v>
      </c>
      <c r="S96" s="297">
        <f t="shared" si="24"/>
        <v>636.73184357541879</v>
      </c>
    </row>
    <row r="97" spans="1:19" x14ac:dyDescent="0.25">
      <c r="A97" s="288">
        <v>11</v>
      </c>
      <c r="B97" s="287" t="s">
        <v>964</v>
      </c>
      <c r="C97" s="288">
        <v>251.9</v>
      </c>
      <c r="D97" s="295">
        <v>99037</v>
      </c>
      <c r="E97" s="295">
        <v>24973</v>
      </c>
      <c r="F97" s="296">
        <f t="shared" si="20"/>
        <v>124010</v>
      </c>
      <c r="G97" s="297">
        <v>492.29853116315996</v>
      </c>
      <c r="H97" s="297">
        <f t="shared" si="22"/>
        <v>492.29853116315996</v>
      </c>
      <c r="I97" s="297">
        <f t="shared" si="23"/>
        <v>163.37719298245617</v>
      </c>
      <c r="K97" s="288">
        <v>11</v>
      </c>
      <c r="L97" s="287" t="s">
        <v>964</v>
      </c>
      <c r="M97" s="288">
        <v>251.9</v>
      </c>
      <c r="N97" s="295">
        <v>99037</v>
      </c>
      <c r="O97" s="295">
        <v>24973</v>
      </c>
      <c r="P97" s="296">
        <f t="shared" si="21"/>
        <v>124010</v>
      </c>
      <c r="Q97" s="297">
        <v>436.0023818975784</v>
      </c>
      <c r="R97" s="297">
        <v>492.29853116315996</v>
      </c>
      <c r="S97" s="297">
        <f t="shared" si="24"/>
        <v>163.37719298245617</v>
      </c>
    </row>
    <row r="98" spans="1:19" x14ac:dyDescent="0.25">
      <c r="A98" s="288">
        <v>12</v>
      </c>
      <c r="B98" s="287" t="s">
        <v>965</v>
      </c>
      <c r="C98" s="288">
        <v>333.3</v>
      </c>
      <c r="D98" s="295">
        <v>109955.3</v>
      </c>
      <c r="E98" s="295">
        <v>24973</v>
      </c>
      <c r="F98" s="296">
        <f t="shared" si="20"/>
        <v>134928.29999999999</v>
      </c>
      <c r="G98" s="297">
        <v>404.82538253825379</v>
      </c>
      <c r="H98" s="297">
        <f t="shared" si="22"/>
        <v>404.82538253825379</v>
      </c>
      <c r="I98" s="297">
        <f t="shared" si="23"/>
        <v>134.13144963144947</v>
      </c>
      <c r="K98" s="288">
        <v>12</v>
      </c>
      <c r="L98" s="287" t="s">
        <v>965</v>
      </c>
      <c r="M98" s="288">
        <v>333.3</v>
      </c>
      <c r="N98" s="295">
        <v>109955.3</v>
      </c>
      <c r="O98" s="295">
        <v>24973</v>
      </c>
      <c r="P98" s="296">
        <f t="shared" si="21"/>
        <v>134928.29999999999</v>
      </c>
      <c r="Q98" s="297">
        <v>383.79537953795381</v>
      </c>
      <c r="R98" s="297">
        <v>404.82538253825379</v>
      </c>
      <c r="S98" s="297">
        <f t="shared" si="24"/>
        <v>134.13144963144947</v>
      </c>
    </row>
    <row r="99" spans="1:19" x14ac:dyDescent="0.25">
      <c r="A99" s="288">
        <v>13</v>
      </c>
      <c r="B99" s="287" t="s">
        <v>966</v>
      </c>
      <c r="C99" s="288">
        <v>450.3</v>
      </c>
      <c r="D99" s="295">
        <v>120873.60000000001</v>
      </c>
      <c r="E99" s="295">
        <v>46287</v>
      </c>
      <c r="F99" s="296">
        <f t="shared" si="20"/>
        <v>167160.6</v>
      </c>
      <c r="G99" s="297">
        <v>371.22051965356428</v>
      </c>
      <c r="H99" s="297">
        <f t="shared" si="22"/>
        <v>371.22051965356428</v>
      </c>
      <c r="I99" s="297">
        <f t="shared" si="23"/>
        <v>275.48974358974374</v>
      </c>
      <c r="K99" s="288">
        <v>13</v>
      </c>
      <c r="L99" s="287" t="s">
        <v>966</v>
      </c>
      <c r="M99" s="288">
        <v>450.3</v>
      </c>
      <c r="N99" s="295">
        <v>120873.60000000001</v>
      </c>
      <c r="O99" s="295">
        <v>46287</v>
      </c>
      <c r="P99" s="296">
        <f t="shared" si="21"/>
        <v>167160.6</v>
      </c>
      <c r="Q99" s="297">
        <v>344.81234732400623</v>
      </c>
      <c r="R99" s="297">
        <v>371.22051965356428</v>
      </c>
      <c r="S99" s="297">
        <f t="shared" si="24"/>
        <v>275.48974358974374</v>
      </c>
    </row>
    <row r="100" spans="1:19" x14ac:dyDescent="0.25">
      <c r="A100" s="288">
        <v>14</v>
      </c>
      <c r="B100" s="287" t="s">
        <v>967</v>
      </c>
      <c r="C100" s="288">
        <v>679.5</v>
      </c>
      <c r="D100" s="295">
        <v>131791.9</v>
      </c>
      <c r="E100" s="295">
        <v>46287</v>
      </c>
      <c r="F100" s="296">
        <f t="shared" si="20"/>
        <v>178078.9</v>
      </c>
      <c r="G100" s="297">
        <v>262.07343635025751</v>
      </c>
      <c r="H100" s="297">
        <f t="shared" si="22"/>
        <v>262.07343635025751</v>
      </c>
      <c r="I100" s="297">
        <f t="shared" si="23"/>
        <v>47.636561954624732</v>
      </c>
      <c r="K100" s="288">
        <v>14</v>
      </c>
      <c r="L100" s="287" t="s">
        <v>967</v>
      </c>
      <c r="M100" s="288">
        <v>679.5</v>
      </c>
      <c r="N100" s="295">
        <v>131791.9</v>
      </c>
      <c r="O100" s="295">
        <v>46287</v>
      </c>
      <c r="P100" s="296">
        <f t="shared" si="21"/>
        <v>178078.9</v>
      </c>
      <c r="Q100" s="297">
        <v>283.177336276674</v>
      </c>
      <c r="R100" s="297">
        <v>262.07343635025751</v>
      </c>
      <c r="S100" s="297">
        <f t="shared" si="24"/>
        <v>47.636561954624732</v>
      </c>
    </row>
    <row r="101" spans="1:19" x14ac:dyDescent="0.25">
      <c r="A101" s="288">
        <v>15</v>
      </c>
      <c r="B101" s="287" t="s">
        <v>968</v>
      </c>
      <c r="C101" s="288">
        <v>872.2</v>
      </c>
      <c r="D101" s="295">
        <v>142710.20000000001</v>
      </c>
      <c r="E101" s="295">
        <v>46287</v>
      </c>
      <c r="F101" s="296">
        <f t="shared" si="20"/>
        <v>188997.2</v>
      </c>
      <c r="G101" s="297">
        <v>216.69020866773675</v>
      </c>
      <c r="H101" s="297">
        <f t="shared" si="22"/>
        <v>216.69020866773675</v>
      </c>
      <c r="I101" s="297">
        <f t="shared" si="23"/>
        <v>56.659574468085182</v>
      </c>
      <c r="K101" s="288">
        <v>15</v>
      </c>
      <c r="L101" s="287" t="s">
        <v>968</v>
      </c>
      <c r="M101" s="288">
        <v>872.2</v>
      </c>
      <c r="N101" s="295">
        <v>142710.20000000001</v>
      </c>
      <c r="O101" s="295">
        <v>46287</v>
      </c>
      <c r="P101" s="296">
        <f t="shared" si="21"/>
        <v>188997.2</v>
      </c>
      <c r="Q101" s="297">
        <v>328.96010089429029</v>
      </c>
      <c r="R101" s="297">
        <v>216.69020866773675</v>
      </c>
      <c r="S101" s="297">
        <f t="shared" si="24"/>
        <v>56.659574468085182</v>
      </c>
    </row>
    <row r="103" spans="1:19" ht="12.75" customHeight="1" x14ac:dyDescent="0.25">
      <c r="A103" s="2170" t="s">
        <v>1939</v>
      </c>
      <c r="B103" s="2171"/>
      <c r="C103" s="2171"/>
      <c r="D103" s="2171"/>
      <c r="E103" s="2171"/>
      <c r="F103" s="2171"/>
      <c r="G103" s="2171"/>
      <c r="H103" s="2171"/>
      <c r="I103" s="2171"/>
      <c r="K103" s="2170" t="s">
        <v>1939</v>
      </c>
      <c r="L103" s="2171"/>
      <c r="M103" s="2171"/>
      <c r="N103" s="2171"/>
      <c r="O103" s="2171"/>
      <c r="P103" s="2171"/>
      <c r="Q103" s="2171"/>
      <c r="R103" s="2171"/>
      <c r="S103" s="2171"/>
    </row>
    <row r="104" spans="1:19" ht="26.4" x14ac:dyDescent="0.25">
      <c r="A104" s="77" t="s">
        <v>1926</v>
      </c>
      <c r="B104" s="288" t="s">
        <v>1927</v>
      </c>
      <c r="C104" s="77" t="s">
        <v>1928</v>
      </c>
      <c r="D104" s="1637" t="s">
        <v>1929</v>
      </c>
      <c r="E104" s="1637"/>
      <c r="F104" s="1637"/>
      <c r="G104" s="2172" t="s">
        <v>1930</v>
      </c>
      <c r="H104" s="2173"/>
      <c r="I104" s="2174"/>
      <c r="K104" s="77" t="s">
        <v>1926</v>
      </c>
      <c r="L104" s="288" t="s">
        <v>1927</v>
      </c>
      <c r="M104" s="77" t="s">
        <v>1928</v>
      </c>
      <c r="N104" s="1637" t="s">
        <v>1929</v>
      </c>
      <c r="O104" s="1637"/>
      <c r="P104" s="1637"/>
      <c r="Q104" s="2172" t="s">
        <v>1930</v>
      </c>
      <c r="R104" s="2173"/>
      <c r="S104" s="2174"/>
    </row>
    <row r="105" spans="1:19" x14ac:dyDescent="0.25">
      <c r="A105" s="288"/>
      <c r="B105" s="292"/>
      <c r="C105" s="288"/>
      <c r="D105" s="288" t="s">
        <v>1931</v>
      </c>
      <c r="E105" s="288" t="s">
        <v>1932</v>
      </c>
      <c r="F105" s="288" t="s">
        <v>1933</v>
      </c>
      <c r="G105" s="77" t="s">
        <v>89</v>
      </c>
      <c r="H105" s="284" t="s">
        <v>1934</v>
      </c>
      <c r="I105" s="77" t="s">
        <v>1935</v>
      </c>
      <c r="K105" s="288"/>
      <c r="L105" s="292"/>
      <c r="M105" s="288"/>
      <c r="N105" s="288" t="s">
        <v>1931</v>
      </c>
      <c r="O105" s="288" t="s">
        <v>1932</v>
      </c>
      <c r="P105" s="288" t="s">
        <v>1933</v>
      </c>
      <c r="Q105" s="77" t="s">
        <v>89</v>
      </c>
      <c r="R105" s="284" t="s">
        <v>1934</v>
      </c>
      <c r="S105" s="77" t="s">
        <v>1935</v>
      </c>
    </row>
    <row r="106" spans="1:19" x14ac:dyDescent="0.25">
      <c r="A106" s="288">
        <v>1</v>
      </c>
      <c r="B106" s="287" t="s">
        <v>810</v>
      </c>
      <c r="C106" s="288">
        <v>637.41999999999996</v>
      </c>
      <c r="D106" s="295">
        <v>77676</v>
      </c>
      <c r="E106" s="295">
        <v>21189</v>
      </c>
      <c r="F106" s="296">
        <f>+D106+E106</f>
        <v>98865</v>
      </c>
      <c r="G106" s="297">
        <v>155.1018166985661</v>
      </c>
      <c r="H106" s="297">
        <f>+F106/C106</f>
        <v>155.1018166985661</v>
      </c>
      <c r="I106" s="297">
        <f>+F106/C106</f>
        <v>155.1018166985661</v>
      </c>
      <c r="K106" s="288">
        <v>1</v>
      </c>
      <c r="L106" s="287" t="s">
        <v>810</v>
      </c>
      <c r="M106" s="288">
        <v>637.41999999999996</v>
      </c>
      <c r="N106" s="295">
        <v>77676</v>
      </c>
      <c r="O106" s="295">
        <v>21189</v>
      </c>
      <c r="P106" s="296">
        <f>+N106+O106</f>
        <v>98865</v>
      </c>
      <c r="Q106" s="297">
        <v>155.1018166985661</v>
      </c>
      <c r="R106" s="297">
        <f>+P106/M106</f>
        <v>155.1018166985661</v>
      </c>
      <c r="S106" s="297">
        <f>+P106/M106</f>
        <v>155.1018166985661</v>
      </c>
    </row>
    <row r="107" spans="1:19" x14ac:dyDescent="0.25">
      <c r="A107" s="288">
        <v>2</v>
      </c>
      <c r="B107" s="287" t="s">
        <v>609</v>
      </c>
      <c r="C107" s="288">
        <v>759.90000000000009</v>
      </c>
      <c r="D107" s="295">
        <v>85126</v>
      </c>
      <c r="E107" s="295">
        <v>21189</v>
      </c>
      <c r="F107" s="296">
        <f>+D107+E107</f>
        <v>106315</v>
      </c>
      <c r="G107" s="297">
        <v>139.90656665350701</v>
      </c>
      <c r="H107" s="297">
        <f>+F107/C107</f>
        <v>139.90656665350701</v>
      </c>
      <c r="I107" s="297">
        <f>+(F107-F106)/(C107-C106)</f>
        <v>60.826257348138405</v>
      </c>
      <c r="K107" s="288">
        <v>2</v>
      </c>
      <c r="L107" s="287" t="s">
        <v>609</v>
      </c>
      <c r="M107" s="288">
        <v>759.90000000000009</v>
      </c>
      <c r="N107" s="295">
        <v>85126</v>
      </c>
      <c r="O107" s="295">
        <v>21189</v>
      </c>
      <c r="P107" s="296">
        <f>+N107+O107</f>
        <v>106315</v>
      </c>
      <c r="Q107" s="297">
        <v>139.90656665350701</v>
      </c>
      <c r="R107" s="297">
        <f>+P107/M107</f>
        <v>139.90656665350701</v>
      </c>
      <c r="S107" s="297">
        <f>+(P107-P106)/(M107-M106)</f>
        <v>60.826257348138405</v>
      </c>
    </row>
    <row r="108" spans="1:19" x14ac:dyDescent="0.25">
      <c r="A108" s="288">
        <v>3</v>
      </c>
      <c r="B108" s="287" t="s">
        <v>987</v>
      </c>
      <c r="C108" s="288">
        <v>836.6</v>
      </c>
      <c r="D108" s="295">
        <v>92576</v>
      </c>
      <c r="E108" s="295">
        <v>21189</v>
      </c>
      <c r="F108" s="296">
        <f>+D108+E108</f>
        <v>113765</v>
      </c>
      <c r="G108" s="297">
        <v>135.98493903896724</v>
      </c>
      <c r="H108" s="297">
        <f>+F108/C108</f>
        <v>135.98493903896724</v>
      </c>
      <c r="I108" s="297">
        <f>+(F108-F107)/(C108-C107)</f>
        <v>97.131681877444677</v>
      </c>
      <c r="K108" s="288">
        <v>3</v>
      </c>
      <c r="L108" s="287" t="s">
        <v>987</v>
      </c>
      <c r="M108" s="288">
        <v>836.6</v>
      </c>
      <c r="N108" s="295">
        <v>92576</v>
      </c>
      <c r="O108" s="295">
        <v>21189</v>
      </c>
      <c r="P108" s="296">
        <f>+N108+O108</f>
        <v>113765</v>
      </c>
      <c r="Q108" s="297">
        <v>135.98493903896724</v>
      </c>
      <c r="R108" s="297">
        <f>+P108/M108</f>
        <v>135.98493903896724</v>
      </c>
      <c r="S108" s="297">
        <f>+(P108-P107)/(M108-M107)</f>
        <v>97.131681877444677</v>
      </c>
    </row>
    <row r="109" spans="1:19" x14ac:dyDescent="0.25">
      <c r="A109" s="288">
        <v>4</v>
      </c>
      <c r="B109" s="287" t="s">
        <v>814</v>
      </c>
      <c r="C109" s="288">
        <v>1323.7</v>
      </c>
      <c r="D109" s="295">
        <v>101587</v>
      </c>
      <c r="E109" s="295">
        <v>24973</v>
      </c>
      <c r="F109" s="296">
        <f>+D109+E109</f>
        <v>126560</v>
      </c>
      <c r="G109" s="297">
        <v>95.610787942887356</v>
      </c>
      <c r="H109" s="297">
        <f>+F109/C109</f>
        <v>95.610787942887356</v>
      </c>
      <c r="I109" s="297">
        <f>+(F109-F108)/(C109-C108)</f>
        <v>26.267706836378565</v>
      </c>
      <c r="K109" s="288">
        <v>4</v>
      </c>
      <c r="L109" s="287" t="s">
        <v>814</v>
      </c>
      <c r="M109" s="288">
        <v>1323.7</v>
      </c>
      <c r="N109" s="295">
        <v>101587</v>
      </c>
      <c r="O109" s="295">
        <v>24973</v>
      </c>
      <c r="P109" s="296">
        <f>+N109+O109</f>
        <v>126560</v>
      </c>
      <c r="Q109" s="297">
        <v>95.610787942887356</v>
      </c>
      <c r="R109" s="297">
        <f>+P109/M109</f>
        <v>95.610787942887356</v>
      </c>
      <c r="S109" s="297">
        <f>+(P109-P108)/(M109-M108)</f>
        <v>26.267706836378565</v>
      </c>
    </row>
    <row r="111" spans="1:19" ht="12.75" customHeight="1" x14ac:dyDescent="0.25">
      <c r="A111" s="2170" t="s">
        <v>1940</v>
      </c>
      <c r="B111" s="2171"/>
      <c r="C111" s="2171"/>
      <c r="D111" s="2171"/>
      <c r="E111" s="2171"/>
      <c r="F111" s="2171"/>
      <c r="G111" s="2171"/>
      <c r="H111" s="2171"/>
      <c r="I111" s="2171"/>
      <c r="K111" s="2170" t="s">
        <v>1940</v>
      </c>
      <c r="L111" s="2171"/>
      <c r="M111" s="2171"/>
      <c r="N111" s="2171"/>
      <c r="O111" s="2171"/>
      <c r="P111" s="2171"/>
      <c r="Q111" s="2171"/>
      <c r="R111" s="2171"/>
      <c r="S111" s="2171"/>
    </row>
    <row r="112" spans="1:19" ht="26.4" x14ac:dyDescent="0.25">
      <c r="A112" s="77" t="s">
        <v>1926</v>
      </c>
      <c r="B112" s="288" t="s">
        <v>1927</v>
      </c>
      <c r="C112" s="77" t="s">
        <v>1928</v>
      </c>
      <c r="D112" s="1637" t="s">
        <v>1929</v>
      </c>
      <c r="E112" s="1637"/>
      <c r="F112" s="1637"/>
      <c r="G112" s="2172" t="s">
        <v>1930</v>
      </c>
      <c r="H112" s="2173"/>
      <c r="I112" s="2174"/>
      <c r="K112" s="77" t="s">
        <v>1926</v>
      </c>
      <c r="L112" s="288" t="s">
        <v>1927</v>
      </c>
      <c r="M112" s="77" t="s">
        <v>1928</v>
      </c>
      <c r="N112" s="1637" t="s">
        <v>1929</v>
      </c>
      <c r="O112" s="1637"/>
      <c r="P112" s="1637"/>
      <c r="Q112" s="2172" t="s">
        <v>1930</v>
      </c>
      <c r="R112" s="2173"/>
      <c r="S112" s="2174"/>
    </row>
    <row r="113" spans="1:19" x14ac:dyDescent="0.25">
      <c r="A113" s="288"/>
      <c r="B113" s="292"/>
      <c r="C113" s="288"/>
      <c r="D113" s="288" t="s">
        <v>1931</v>
      </c>
      <c r="E113" s="288" t="s">
        <v>1932</v>
      </c>
      <c r="F113" s="288" t="s">
        <v>1933</v>
      </c>
      <c r="G113" s="77" t="s">
        <v>89</v>
      </c>
      <c r="H113" s="284" t="s">
        <v>1934</v>
      </c>
      <c r="I113" s="77" t="s">
        <v>1935</v>
      </c>
      <c r="K113" s="288"/>
      <c r="L113" s="292"/>
      <c r="M113" s="288"/>
      <c r="N113" s="288" t="s">
        <v>1931</v>
      </c>
      <c r="O113" s="288" t="s">
        <v>1932</v>
      </c>
      <c r="P113" s="288" t="s">
        <v>1933</v>
      </c>
      <c r="Q113" s="77" t="s">
        <v>89</v>
      </c>
      <c r="R113" s="284" t="s">
        <v>1934</v>
      </c>
      <c r="S113" s="77" t="s">
        <v>1935</v>
      </c>
    </row>
    <row r="114" spans="1:19" x14ac:dyDescent="0.25">
      <c r="A114" s="76">
        <v>16</v>
      </c>
      <c r="B114" s="76" t="s">
        <v>598</v>
      </c>
      <c r="C114" s="146">
        <v>80.277195616996323</v>
      </c>
      <c r="D114" s="334">
        <v>1000</v>
      </c>
      <c r="E114" s="334">
        <v>1000</v>
      </c>
      <c r="F114" s="296">
        <f t="shared" ref="F114:F122" si="25">+D114+E114</f>
        <v>2000</v>
      </c>
      <c r="G114" s="297">
        <v>24.913675479422938</v>
      </c>
      <c r="H114" s="297">
        <f>+F114/C114</f>
        <v>24.913675479422938</v>
      </c>
      <c r="I114" s="297">
        <f>+F114/C114</f>
        <v>24.913675479422938</v>
      </c>
      <c r="K114" s="76">
        <v>16</v>
      </c>
      <c r="L114" s="76" t="s">
        <v>598</v>
      </c>
      <c r="M114" s="146">
        <v>80.277195616996323</v>
      </c>
      <c r="N114" s="288">
        <v>1000</v>
      </c>
      <c r="O114" s="288">
        <v>1000</v>
      </c>
      <c r="P114" s="296">
        <f t="shared" ref="P114:P122" si="26">+N114+O114</f>
        <v>2000</v>
      </c>
      <c r="Q114" s="297">
        <v>24.913675479422938</v>
      </c>
      <c r="R114" s="297">
        <f>+P114/M114</f>
        <v>24.913675479422938</v>
      </c>
      <c r="S114" s="297">
        <f>+P114/M114</f>
        <v>24.913675479422938</v>
      </c>
    </row>
    <row r="115" spans="1:19" x14ac:dyDescent="0.25">
      <c r="A115" s="76">
        <v>17</v>
      </c>
      <c r="B115" s="76" t="s">
        <v>814</v>
      </c>
      <c r="C115" s="146">
        <v>100.9987480609929</v>
      </c>
      <c r="D115" s="334">
        <v>1000</v>
      </c>
      <c r="E115" s="334">
        <v>1000</v>
      </c>
      <c r="F115" s="296">
        <f t="shared" si="25"/>
        <v>2000</v>
      </c>
      <c r="G115" s="297">
        <v>19.802225655234903</v>
      </c>
      <c r="H115" s="297">
        <f t="shared" ref="H115:H122" si="27">+F115/C115</f>
        <v>19.802225655234903</v>
      </c>
      <c r="I115" s="297">
        <f t="shared" ref="I115:I122" si="28">+F115/C115</f>
        <v>19.802225655234903</v>
      </c>
      <c r="K115" s="76">
        <v>17</v>
      </c>
      <c r="L115" s="76" t="s">
        <v>814</v>
      </c>
      <c r="M115" s="146">
        <v>100.9987480609929</v>
      </c>
      <c r="N115" s="288">
        <v>1000</v>
      </c>
      <c r="O115" s="288">
        <v>1000</v>
      </c>
      <c r="P115" s="296">
        <f t="shared" si="26"/>
        <v>2000</v>
      </c>
      <c r="Q115" s="297">
        <v>19.802225655234903</v>
      </c>
      <c r="R115" s="297">
        <f t="shared" ref="R115:R122" si="29">+P115/M115</f>
        <v>19.802225655234903</v>
      </c>
      <c r="S115" s="297">
        <f t="shared" ref="S115:S122" si="30">+P115/M115</f>
        <v>19.802225655234903</v>
      </c>
    </row>
    <row r="116" spans="1:19" x14ac:dyDescent="0.25">
      <c r="A116" s="76">
        <v>18</v>
      </c>
      <c r="B116" s="76" t="s">
        <v>816</v>
      </c>
      <c r="C116" s="146">
        <v>127.67628893729768</v>
      </c>
      <c r="D116" s="334">
        <v>1000</v>
      </c>
      <c r="E116" s="334">
        <v>1000</v>
      </c>
      <c r="F116" s="296">
        <f t="shared" si="25"/>
        <v>2000</v>
      </c>
      <c r="G116" s="297">
        <v>15.664615698394929</v>
      </c>
      <c r="H116" s="297">
        <f t="shared" si="27"/>
        <v>15.664615698394929</v>
      </c>
      <c r="I116" s="297">
        <f t="shared" si="28"/>
        <v>15.664615698394929</v>
      </c>
      <c r="K116" s="76">
        <v>18</v>
      </c>
      <c r="L116" s="76" t="s">
        <v>816</v>
      </c>
      <c r="M116" s="146">
        <v>127.67628893729768</v>
      </c>
      <c r="N116" s="288">
        <v>1000</v>
      </c>
      <c r="O116" s="288">
        <v>1000</v>
      </c>
      <c r="P116" s="296">
        <f t="shared" si="26"/>
        <v>2000</v>
      </c>
      <c r="Q116" s="297">
        <v>15.664615698394929</v>
      </c>
      <c r="R116" s="297">
        <f t="shared" si="29"/>
        <v>15.664615698394929</v>
      </c>
      <c r="S116" s="297">
        <f t="shared" si="30"/>
        <v>15.664615698394929</v>
      </c>
    </row>
    <row r="117" spans="1:19" x14ac:dyDescent="0.25">
      <c r="A117" s="76">
        <v>19</v>
      </c>
      <c r="B117" s="76" t="s">
        <v>818</v>
      </c>
      <c r="C117" s="146">
        <v>160.83077284769223</v>
      </c>
      <c r="D117" s="334">
        <v>1000</v>
      </c>
      <c r="E117" s="334">
        <v>1000</v>
      </c>
      <c r="F117" s="296">
        <f t="shared" si="25"/>
        <v>2000</v>
      </c>
      <c r="G117" s="297">
        <v>12.435431134152497</v>
      </c>
      <c r="H117" s="297">
        <f t="shared" si="27"/>
        <v>12.435431134152497</v>
      </c>
      <c r="I117" s="297">
        <f t="shared" si="28"/>
        <v>12.435431134152497</v>
      </c>
      <c r="K117" s="76">
        <v>19</v>
      </c>
      <c r="L117" s="76" t="s">
        <v>818</v>
      </c>
      <c r="M117" s="146">
        <v>160.83077284769223</v>
      </c>
      <c r="N117" s="288">
        <v>1000</v>
      </c>
      <c r="O117" s="288">
        <v>1000</v>
      </c>
      <c r="P117" s="296">
        <f t="shared" si="26"/>
        <v>2000</v>
      </c>
      <c r="Q117" s="297">
        <v>12.435431134152497</v>
      </c>
      <c r="R117" s="297">
        <f t="shared" si="29"/>
        <v>12.435431134152497</v>
      </c>
      <c r="S117" s="297">
        <f t="shared" si="30"/>
        <v>12.435431134152497</v>
      </c>
    </row>
    <row r="118" spans="1:19" x14ac:dyDescent="0.25">
      <c r="A118" s="76">
        <v>20</v>
      </c>
      <c r="B118" s="76" t="s">
        <v>950</v>
      </c>
      <c r="C118" s="146">
        <v>202.82507016675771</v>
      </c>
      <c r="D118" s="334">
        <v>1000</v>
      </c>
      <c r="E118" s="334">
        <v>1000</v>
      </c>
      <c r="F118" s="296">
        <f t="shared" si="25"/>
        <v>2000</v>
      </c>
      <c r="G118" s="297">
        <v>9.8607139559012591</v>
      </c>
      <c r="H118" s="297">
        <f t="shared" si="27"/>
        <v>9.8607139559012591</v>
      </c>
      <c r="I118" s="297">
        <f t="shared" si="28"/>
        <v>9.8607139559012591</v>
      </c>
      <c r="K118" s="76">
        <v>20</v>
      </c>
      <c r="L118" s="76" t="s">
        <v>950</v>
      </c>
      <c r="M118" s="146">
        <v>202.82507016675771</v>
      </c>
      <c r="N118" s="288">
        <v>1000</v>
      </c>
      <c r="O118" s="288">
        <v>1000</v>
      </c>
      <c r="P118" s="296">
        <f t="shared" si="26"/>
        <v>2000</v>
      </c>
      <c r="Q118" s="297">
        <v>9.8607139559012591</v>
      </c>
      <c r="R118" s="297">
        <f t="shared" si="29"/>
        <v>9.8607139559012591</v>
      </c>
      <c r="S118" s="297">
        <f t="shared" si="30"/>
        <v>9.8607139559012591</v>
      </c>
    </row>
    <row r="119" spans="1:19" x14ac:dyDescent="0.25">
      <c r="A119" s="76">
        <v>21</v>
      </c>
      <c r="B119" s="147" t="s">
        <v>951</v>
      </c>
      <c r="C119" s="146">
        <v>234.2472798879628</v>
      </c>
      <c r="D119" s="334">
        <v>1000</v>
      </c>
      <c r="E119" s="334">
        <v>1000</v>
      </c>
      <c r="F119" s="296">
        <f t="shared" si="25"/>
        <v>2000</v>
      </c>
      <c r="G119" s="297">
        <v>8.5379860161303558</v>
      </c>
      <c r="H119" s="297">
        <f t="shared" si="27"/>
        <v>8.5379860161303558</v>
      </c>
      <c r="I119" s="297">
        <f t="shared" si="28"/>
        <v>8.5379860161303558</v>
      </c>
      <c r="K119" s="76">
        <v>21</v>
      </c>
      <c r="L119" s="147" t="s">
        <v>951</v>
      </c>
      <c r="M119" s="146">
        <v>234.2472798879628</v>
      </c>
      <c r="N119" s="288">
        <v>1000</v>
      </c>
      <c r="O119" s="288">
        <v>1000</v>
      </c>
      <c r="P119" s="296">
        <f t="shared" si="26"/>
        <v>2000</v>
      </c>
      <c r="Q119" s="297">
        <v>8.5379860161303558</v>
      </c>
      <c r="R119" s="297">
        <f t="shared" si="29"/>
        <v>8.5379860161303558</v>
      </c>
      <c r="S119" s="297">
        <f t="shared" si="30"/>
        <v>8.5379860161303558</v>
      </c>
    </row>
    <row r="120" spans="1:19" x14ac:dyDescent="0.25">
      <c r="A120" s="76">
        <v>22</v>
      </c>
      <c r="B120" s="76" t="s">
        <v>952</v>
      </c>
      <c r="C120" s="146">
        <v>236.42251864130841</v>
      </c>
      <c r="D120" s="334">
        <v>1000</v>
      </c>
      <c r="E120" s="334">
        <v>1000</v>
      </c>
      <c r="F120" s="296">
        <f t="shared" si="25"/>
        <v>2000</v>
      </c>
      <c r="G120" s="297">
        <v>8.459431070668554</v>
      </c>
      <c r="H120" s="297">
        <f t="shared" si="27"/>
        <v>8.459431070668554</v>
      </c>
      <c r="I120" s="297">
        <f t="shared" si="28"/>
        <v>8.459431070668554</v>
      </c>
      <c r="K120" s="76">
        <v>22</v>
      </c>
      <c r="L120" s="76" t="s">
        <v>952</v>
      </c>
      <c r="M120" s="146">
        <v>236.42251864130841</v>
      </c>
      <c r="N120" s="288">
        <v>1000</v>
      </c>
      <c r="O120" s="288">
        <v>1000</v>
      </c>
      <c r="P120" s="296">
        <f t="shared" si="26"/>
        <v>2000</v>
      </c>
      <c r="Q120" s="297">
        <v>8.459431070668554</v>
      </c>
      <c r="R120" s="297">
        <f t="shared" si="29"/>
        <v>8.459431070668554</v>
      </c>
      <c r="S120" s="297">
        <f t="shared" si="30"/>
        <v>8.459431070668554</v>
      </c>
    </row>
    <row r="121" spans="1:19" x14ac:dyDescent="0.25">
      <c r="A121" s="76">
        <v>23</v>
      </c>
      <c r="B121" s="76" t="s">
        <v>953</v>
      </c>
      <c r="C121" s="146">
        <v>310.71301675780762</v>
      </c>
      <c r="D121" s="334">
        <v>1000</v>
      </c>
      <c r="E121" s="334">
        <v>1000</v>
      </c>
      <c r="F121" s="296">
        <f t="shared" si="25"/>
        <v>2000</v>
      </c>
      <c r="G121" s="297">
        <v>6.4368078971050826</v>
      </c>
      <c r="H121" s="297">
        <f t="shared" si="27"/>
        <v>6.4368078971050826</v>
      </c>
      <c r="I121" s="297">
        <f t="shared" si="28"/>
        <v>6.4368078971050826</v>
      </c>
      <c r="K121" s="76">
        <v>23</v>
      </c>
      <c r="L121" s="76" t="s">
        <v>953</v>
      </c>
      <c r="M121" s="146">
        <v>310.71301675780762</v>
      </c>
      <c r="N121" s="288">
        <v>1000</v>
      </c>
      <c r="O121" s="288">
        <v>1000</v>
      </c>
      <c r="P121" s="296">
        <f t="shared" si="26"/>
        <v>2000</v>
      </c>
      <c r="Q121" s="297">
        <v>6.4368078971050826</v>
      </c>
      <c r="R121" s="297">
        <f t="shared" si="29"/>
        <v>6.4368078971050826</v>
      </c>
      <c r="S121" s="297">
        <f t="shared" si="30"/>
        <v>6.4368078971050826</v>
      </c>
    </row>
    <row r="122" spans="1:19" x14ac:dyDescent="0.25">
      <c r="A122" s="76">
        <v>24</v>
      </c>
      <c r="B122" s="147" t="s">
        <v>954</v>
      </c>
      <c r="C122" s="146">
        <v>336.53525903417255</v>
      </c>
      <c r="D122" s="334">
        <v>1000</v>
      </c>
      <c r="E122" s="334">
        <v>1000</v>
      </c>
      <c r="F122" s="296">
        <f t="shared" si="25"/>
        <v>2000</v>
      </c>
      <c r="G122" s="297">
        <v>5.9429136956996098</v>
      </c>
      <c r="H122" s="297">
        <f t="shared" si="27"/>
        <v>5.9429136956996098</v>
      </c>
      <c r="I122" s="297">
        <f t="shared" si="28"/>
        <v>5.9429136956996098</v>
      </c>
      <c r="K122" s="76">
        <v>24</v>
      </c>
      <c r="L122" s="147" t="s">
        <v>954</v>
      </c>
      <c r="M122" s="146">
        <v>336.53525903417255</v>
      </c>
      <c r="N122" s="288">
        <v>1000</v>
      </c>
      <c r="O122" s="288">
        <v>1000</v>
      </c>
      <c r="P122" s="296">
        <f t="shared" si="26"/>
        <v>2000</v>
      </c>
      <c r="Q122" s="297">
        <v>5.9429136956996098</v>
      </c>
      <c r="R122" s="297">
        <f t="shared" si="29"/>
        <v>5.9429136956996098</v>
      </c>
      <c r="S122" s="297">
        <f t="shared" si="30"/>
        <v>5.9429136956996098</v>
      </c>
    </row>
    <row r="1048570" spans="5:15" x14ac:dyDescent="0.25">
      <c r="E1048570" s="295"/>
      <c r="O1048570" s="295"/>
    </row>
  </sheetData>
  <mergeCells count="38">
    <mergeCell ref="A111:I111"/>
    <mergeCell ref="K111:S111"/>
    <mergeCell ref="D112:F112"/>
    <mergeCell ref="G112:I112"/>
    <mergeCell ref="N112:P112"/>
    <mergeCell ref="Q112:S112"/>
    <mergeCell ref="K90:S90"/>
    <mergeCell ref="N91:P91"/>
    <mergeCell ref="Q91:S91"/>
    <mergeCell ref="A2:I3"/>
    <mergeCell ref="K2:S3"/>
    <mergeCell ref="N65:P65"/>
    <mergeCell ref="Q65:S65"/>
    <mergeCell ref="K77:S77"/>
    <mergeCell ref="N78:P78"/>
    <mergeCell ref="Q78:S78"/>
    <mergeCell ref="K4:S4"/>
    <mergeCell ref="N5:P5"/>
    <mergeCell ref="Q5:S5"/>
    <mergeCell ref="K64:S64"/>
    <mergeCell ref="D5:F5"/>
    <mergeCell ref="G5:I5"/>
    <mergeCell ref="A4:I4"/>
    <mergeCell ref="A90:I90"/>
    <mergeCell ref="D91:F91"/>
    <mergeCell ref="G91:I91"/>
    <mergeCell ref="A64:I64"/>
    <mergeCell ref="D65:F65"/>
    <mergeCell ref="G65:I65"/>
    <mergeCell ref="A77:I77"/>
    <mergeCell ref="D78:F78"/>
    <mergeCell ref="G78:I78"/>
    <mergeCell ref="A103:I103"/>
    <mergeCell ref="K103:S103"/>
    <mergeCell ref="D104:F104"/>
    <mergeCell ref="G104:I104"/>
    <mergeCell ref="N104:P104"/>
    <mergeCell ref="Q104:S104"/>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5"/>
  <dimension ref="A1:S54"/>
  <sheetViews>
    <sheetView workbookViewId="0">
      <selection activeCell="S11" sqref="S11"/>
    </sheetView>
  </sheetViews>
  <sheetFormatPr baseColWidth="10" defaultColWidth="11.44140625" defaultRowHeight="13.2" x14ac:dyDescent="0.25"/>
  <cols>
    <col min="1" max="2" width="9.44140625" style="9" customWidth="1"/>
    <col min="3" max="17" width="7.5546875" style="14" customWidth="1"/>
    <col min="18" max="18" width="11.44140625" style="9"/>
    <col min="19" max="19" width="111.44140625" style="9" customWidth="1"/>
    <col min="20" max="16384" width="11.44140625" style="9"/>
  </cols>
  <sheetData>
    <row r="1" spans="1:19" ht="26.4" x14ac:dyDescent="0.25">
      <c r="A1" s="2186" t="s">
        <v>1942</v>
      </c>
      <c r="B1" s="2185" t="s">
        <v>1860</v>
      </c>
      <c r="C1" s="2184" t="s">
        <v>1861</v>
      </c>
      <c r="D1" s="2184"/>
      <c r="E1" s="2184"/>
      <c r="F1" s="2184"/>
      <c r="G1" s="2184"/>
      <c r="H1" s="2184"/>
      <c r="I1" s="2184"/>
      <c r="J1" s="2184"/>
      <c r="K1" s="2184"/>
      <c r="L1" s="2184"/>
      <c r="M1" s="2184"/>
      <c r="N1" s="2184"/>
      <c r="O1" s="2184"/>
      <c r="P1" s="2184"/>
      <c r="Q1" s="2184"/>
      <c r="S1" s="81" t="s">
        <v>1943</v>
      </c>
    </row>
    <row r="2" spans="1:19" ht="16.5" customHeight="1" x14ac:dyDescent="0.25">
      <c r="A2" s="2186"/>
      <c r="B2" s="2185"/>
      <c r="C2" s="36">
        <v>1</v>
      </c>
      <c r="D2" s="36">
        <v>2</v>
      </c>
      <c r="E2" s="36">
        <v>3</v>
      </c>
      <c r="F2" s="36">
        <v>4</v>
      </c>
      <c r="G2" s="36">
        <v>5</v>
      </c>
      <c r="H2" s="37">
        <v>6</v>
      </c>
      <c r="I2" s="36">
        <v>7</v>
      </c>
      <c r="J2" s="36">
        <v>8</v>
      </c>
      <c r="K2" s="36">
        <v>9</v>
      </c>
      <c r="L2" s="36">
        <v>10</v>
      </c>
      <c r="M2" s="36">
        <v>11</v>
      </c>
      <c r="N2" s="36">
        <v>12</v>
      </c>
      <c r="O2" s="36">
        <v>13</v>
      </c>
      <c r="P2" s="36">
        <v>14</v>
      </c>
      <c r="Q2" s="36">
        <v>15</v>
      </c>
    </row>
    <row r="3" spans="1:19" x14ac:dyDescent="0.25">
      <c r="A3" s="2148">
        <v>6</v>
      </c>
      <c r="B3" s="10">
        <v>1</v>
      </c>
      <c r="C3" s="11">
        <v>1</v>
      </c>
      <c r="D3" s="11">
        <v>0.92</v>
      </c>
      <c r="E3" s="11">
        <v>0.85399999999999998</v>
      </c>
      <c r="F3" s="11">
        <v>0.80300000000000005</v>
      </c>
      <c r="G3" s="11">
        <v>0.75800000000000001</v>
      </c>
      <c r="H3" s="11">
        <v>0.72599999999999998</v>
      </c>
      <c r="I3" s="11">
        <v>0.69899999999999995</v>
      </c>
      <c r="J3" s="11">
        <v>0.67800000000000005</v>
      </c>
      <c r="K3" s="11">
        <v>0.66</v>
      </c>
      <c r="L3" s="11">
        <v>0.64600000000000002</v>
      </c>
      <c r="M3" s="11">
        <v>0.63500000000000001</v>
      </c>
      <c r="N3" s="11">
        <v>0.628</v>
      </c>
      <c r="O3" s="11">
        <v>0.62</v>
      </c>
      <c r="P3" s="11">
        <v>0.61499999999999999</v>
      </c>
      <c r="Q3" s="11">
        <v>0.61</v>
      </c>
    </row>
    <row r="4" spans="1:19" x14ac:dyDescent="0.25">
      <c r="A4" s="2148"/>
      <c r="B4" s="10">
        <v>2</v>
      </c>
      <c r="C4" s="11">
        <v>0.92</v>
      </c>
      <c r="D4" s="11">
        <v>0.8</v>
      </c>
      <c r="E4" s="11">
        <v>0.71399999999999997</v>
      </c>
      <c r="F4" s="11">
        <v>0.66</v>
      </c>
      <c r="G4" s="11">
        <v>0.62</v>
      </c>
      <c r="H4" s="11">
        <v>0.59</v>
      </c>
      <c r="I4" s="11">
        <v>0.56999999999999995</v>
      </c>
      <c r="J4" s="11">
        <v>0.55200000000000005</v>
      </c>
      <c r="K4" s="11">
        <v>0.54</v>
      </c>
      <c r="L4" s="11">
        <v>0.53</v>
      </c>
      <c r="M4" s="11">
        <v>0.52100000000000002</v>
      </c>
      <c r="N4" s="11">
        <v>0.51500000000000001</v>
      </c>
      <c r="O4" s="11">
        <v>0.50900000000000001</v>
      </c>
      <c r="P4" s="11">
        <v>0.503</v>
      </c>
      <c r="Q4" s="11">
        <v>0.5</v>
      </c>
    </row>
    <row r="5" spans="1:19" x14ac:dyDescent="0.25">
      <c r="A5" s="2148"/>
      <c r="B5" s="10">
        <v>3</v>
      </c>
      <c r="C5" s="11">
        <v>0.84</v>
      </c>
      <c r="D5" s="11">
        <v>0.71399999999999997</v>
      </c>
      <c r="E5" s="11">
        <v>0.625</v>
      </c>
      <c r="F5" s="11">
        <v>0.56899999999999995</v>
      </c>
      <c r="G5" s="11">
        <v>0.53</v>
      </c>
      <c r="H5" s="11">
        <v>0.501</v>
      </c>
      <c r="I5" s="11">
        <v>0.48399999999999999</v>
      </c>
      <c r="J5" s="11">
        <v>0.47</v>
      </c>
      <c r="K5" s="11">
        <v>0.45900000000000002</v>
      </c>
      <c r="L5" s="11">
        <v>0.45</v>
      </c>
      <c r="M5" s="11">
        <v>0.442</v>
      </c>
      <c r="N5" s="11">
        <v>0.436</v>
      </c>
      <c r="O5" s="11">
        <v>0.42899999999999999</v>
      </c>
      <c r="P5" s="11">
        <v>0.42299999999999999</v>
      </c>
      <c r="Q5" s="11">
        <v>0.42</v>
      </c>
    </row>
    <row r="6" spans="1:19" x14ac:dyDescent="0.25">
      <c r="A6" s="2148"/>
      <c r="B6" s="10">
        <v>4</v>
      </c>
      <c r="C6" s="11">
        <v>0.77</v>
      </c>
      <c r="D6" s="11">
        <v>0.64200000000000002</v>
      </c>
      <c r="E6" s="11">
        <v>0.56000000000000005</v>
      </c>
      <c r="F6" s="11">
        <v>0.50600000000000001</v>
      </c>
      <c r="G6" s="11">
        <v>0.46899999999999997</v>
      </c>
      <c r="H6" s="11">
        <v>0.441</v>
      </c>
      <c r="I6" s="11">
        <v>0.42199999999999999</v>
      </c>
      <c r="J6" s="11">
        <v>0.40600000000000003</v>
      </c>
      <c r="K6" s="11">
        <v>0.39400000000000002</v>
      </c>
      <c r="L6" s="11">
        <v>0.38500000000000001</v>
      </c>
      <c r="M6" s="11">
        <v>0.378</v>
      </c>
      <c r="N6" s="11">
        <v>0.371</v>
      </c>
      <c r="O6" s="11">
        <v>0.36699999999999999</v>
      </c>
      <c r="P6" s="11">
        <v>0.36199999999999999</v>
      </c>
      <c r="Q6" s="11">
        <v>0.35799999999999998</v>
      </c>
    </row>
    <row r="7" spans="1:19" x14ac:dyDescent="0.25">
      <c r="A7" s="2152">
        <v>4</v>
      </c>
      <c r="B7" s="10">
        <v>1</v>
      </c>
      <c r="C7" s="11">
        <v>1</v>
      </c>
      <c r="D7" s="11">
        <v>0.92</v>
      </c>
      <c r="E7" s="11">
        <v>0.85199999999999998</v>
      </c>
      <c r="F7" s="11">
        <v>0.8</v>
      </c>
      <c r="G7" s="11">
        <v>0.755</v>
      </c>
      <c r="H7" s="11">
        <v>0.72199999999999998</v>
      </c>
      <c r="I7" s="11">
        <v>0.69499999999999995</v>
      </c>
      <c r="J7" s="11">
        <v>0.67300000000000004</v>
      </c>
      <c r="K7" s="11">
        <v>0.65500000000000003</v>
      </c>
      <c r="L7" s="11">
        <v>0.64200000000000002</v>
      </c>
      <c r="M7" s="11">
        <v>0.63</v>
      </c>
      <c r="N7" s="11">
        <v>0.623</v>
      </c>
      <c r="O7" s="11">
        <v>0.61499999999999999</v>
      </c>
      <c r="P7" s="11">
        <v>0.61</v>
      </c>
      <c r="Q7" s="11">
        <v>0.60499999999999998</v>
      </c>
    </row>
    <row r="8" spans="1:19" x14ac:dyDescent="0.25">
      <c r="A8" s="2152"/>
      <c r="B8" s="10">
        <v>2</v>
      </c>
      <c r="C8" s="11">
        <v>0.92</v>
      </c>
      <c r="D8" s="11">
        <v>0.79500000000000004</v>
      </c>
      <c r="E8" s="11">
        <v>0.71399999999999997</v>
      </c>
      <c r="F8" s="11">
        <v>0.66</v>
      </c>
      <c r="G8" s="11">
        <v>0.62</v>
      </c>
      <c r="H8" s="11">
        <v>0.59</v>
      </c>
      <c r="I8" s="11">
        <v>0.56999999999999995</v>
      </c>
      <c r="J8" s="11">
        <v>0.55200000000000005</v>
      </c>
      <c r="K8" s="11">
        <v>0.54</v>
      </c>
      <c r="L8" s="11">
        <v>0.53</v>
      </c>
      <c r="M8" s="11">
        <v>0.52100000000000002</v>
      </c>
      <c r="N8" s="11">
        <v>0.51500000000000001</v>
      </c>
      <c r="O8" s="11">
        <v>0.434</v>
      </c>
      <c r="P8" s="11">
        <v>0.43</v>
      </c>
      <c r="Q8" s="11">
        <v>0.42499999999999999</v>
      </c>
    </row>
    <row r="9" spans="1:19" x14ac:dyDescent="0.25">
      <c r="A9" s="2152"/>
      <c r="B9" s="10">
        <v>3</v>
      </c>
      <c r="C9" s="11">
        <v>0.83499999999999996</v>
      </c>
      <c r="D9" s="11">
        <v>0.70899999999999996</v>
      </c>
      <c r="E9" s="11">
        <v>0.61499999999999999</v>
      </c>
      <c r="F9" s="11">
        <v>0.56100000000000005</v>
      </c>
      <c r="G9" s="11">
        <v>0.52100000000000002</v>
      </c>
      <c r="H9" s="11">
        <v>0.49299999999999999</v>
      </c>
      <c r="I9" s="11">
        <v>0.47399999999999998</v>
      </c>
      <c r="J9" s="11">
        <v>0.45900000000000002</v>
      </c>
      <c r="K9" s="11">
        <v>0.48799999999999999</v>
      </c>
      <c r="L9" s="11">
        <v>0.439</v>
      </c>
      <c r="M9" s="11">
        <v>0.43</v>
      </c>
      <c r="N9" s="11">
        <v>0.42399999999999999</v>
      </c>
      <c r="O9" s="11">
        <v>0.42</v>
      </c>
      <c r="P9" s="11">
        <v>0.41599999999999998</v>
      </c>
      <c r="Q9" s="11">
        <v>0.41199999999999998</v>
      </c>
    </row>
    <row r="10" spans="1:19" x14ac:dyDescent="0.25">
      <c r="A10" s="2152"/>
      <c r="B10" s="10">
        <v>4</v>
      </c>
      <c r="C10" s="11">
        <v>0.76</v>
      </c>
      <c r="D10" s="11">
        <v>0.63</v>
      </c>
      <c r="E10" s="11">
        <v>0.54800000000000004</v>
      </c>
      <c r="F10" s="11">
        <v>0.498</v>
      </c>
      <c r="G10" s="11">
        <v>0.46</v>
      </c>
      <c r="H10" s="11">
        <v>0.43</v>
      </c>
      <c r="I10" s="11">
        <v>0.41</v>
      </c>
      <c r="J10" s="11">
        <v>0.39500000000000002</v>
      </c>
      <c r="K10" s="11">
        <v>0.38200000000000001</v>
      </c>
      <c r="L10" s="11">
        <v>0.374</v>
      </c>
      <c r="M10" s="11">
        <v>0.36699999999999999</v>
      </c>
      <c r="N10" s="11">
        <v>0.36099999999999999</v>
      </c>
      <c r="O10" s="11">
        <v>0.35599999999999998</v>
      </c>
      <c r="P10" s="11">
        <v>0.35199999999999998</v>
      </c>
      <c r="Q10" s="11">
        <v>0.35</v>
      </c>
    </row>
    <row r="11" spans="1:19" x14ac:dyDescent="0.25">
      <c r="A11" s="2152">
        <v>2</v>
      </c>
      <c r="B11" s="10">
        <v>1</v>
      </c>
      <c r="C11" s="11">
        <v>1</v>
      </c>
      <c r="D11" s="11">
        <v>0.91</v>
      </c>
      <c r="E11" s="11">
        <v>0.83599999999999997</v>
      </c>
      <c r="F11" s="11">
        <v>0.78400000000000003</v>
      </c>
      <c r="G11" s="11">
        <v>0.748</v>
      </c>
      <c r="H11" s="11">
        <v>0.71399999999999997</v>
      </c>
      <c r="I11" s="11">
        <v>0.68799999999999994</v>
      </c>
      <c r="J11" s="11">
        <v>0.66500000000000004</v>
      </c>
      <c r="K11" s="11">
        <v>0.64900000000000002</v>
      </c>
      <c r="L11" s="11">
        <v>0.63500000000000001</v>
      </c>
      <c r="M11" s="11">
        <v>0.625</v>
      </c>
      <c r="N11" s="11">
        <v>0.61599999999999999</v>
      </c>
      <c r="O11" s="11">
        <v>0.60899999999999999</v>
      </c>
      <c r="P11" s="11">
        <v>0.60199999999999998</v>
      </c>
      <c r="Q11" s="11">
        <v>0.59799999999999998</v>
      </c>
    </row>
    <row r="12" spans="1:19" x14ac:dyDescent="0.25">
      <c r="A12" s="2152"/>
      <c r="B12" s="10">
        <v>2</v>
      </c>
      <c r="C12" s="11">
        <v>0.92</v>
      </c>
      <c r="D12" s="11">
        <v>0.78200000000000003</v>
      </c>
      <c r="E12" s="11">
        <v>0.68899999999999995</v>
      </c>
      <c r="F12" s="11">
        <v>0.63900000000000001</v>
      </c>
      <c r="G12" s="11">
        <v>0.59899999999999998</v>
      </c>
      <c r="H12" s="11">
        <v>0.56999999999999995</v>
      </c>
      <c r="I12" s="11">
        <v>0.54800000000000004</v>
      </c>
      <c r="J12" s="11">
        <v>0.53100000000000003</v>
      </c>
      <c r="K12" s="11">
        <v>0.51800000000000002</v>
      </c>
      <c r="L12" s="11">
        <v>0.50800000000000001</v>
      </c>
      <c r="M12" s="11">
        <v>0.5</v>
      </c>
      <c r="N12" s="11">
        <v>0.49399999999999999</v>
      </c>
      <c r="O12" s="11">
        <v>0.48899999999999999</v>
      </c>
      <c r="P12" s="11">
        <v>0.48399999999999999</v>
      </c>
      <c r="Q12" s="11">
        <v>0.48</v>
      </c>
    </row>
    <row r="13" spans="1:19" x14ac:dyDescent="0.25">
      <c r="A13" s="2152"/>
      <c r="B13" s="12">
        <v>3</v>
      </c>
      <c r="C13" s="13">
        <v>0.82</v>
      </c>
      <c r="D13" s="11">
        <v>0.68899999999999995</v>
      </c>
      <c r="E13" s="11">
        <v>0.6</v>
      </c>
      <c r="F13" s="11">
        <v>0.54400000000000004</v>
      </c>
      <c r="G13" s="11">
        <v>0.505</v>
      </c>
      <c r="H13" s="11">
        <v>0.47899999999999998</v>
      </c>
      <c r="I13" s="11">
        <v>0.46</v>
      </c>
      <c r="J13" s="11">
        <v>0.44500000000000001</v>
      </c>
      <c r="K13" s="11">
        <v>0.433</v>
      </c>
      <c r="L13" s="11">
        <v>0.42399999999999999</v>
      </c>
      <c r="M13" s="11">
        <v>0.41699999999999998</v>
      </c>
      <c r="N13" s="11">
        <v>0.41</v>
      </c>
      <c r="O13" s="11">
        <v>0.40500000000000003</v>
      </c>
      <c r="P13" s="11">
        <v>0.4</v>
      </c>
      <c r="Q13" s="11">
        <v>0.39500000000000002</v>
      </c>
    </row>
    <row r="14" spans="1:19" x14ac:dyDescent="0.25">
      <c r="A14" s="2152"/>
      <c r="B14" s="12">
        <v>4</v>
      </c>
      <c r="C14" s="13">
        <v>0.746</v>
      </c>
      <c r="D14" s="11">
        <v>0.622</v>
      </c>
      <c r="E14" s="11">
        <v>0.53900000000000003</v>
      </c>
      <c r="F14" s="11">
        <v>0.48399999999999999</v>
      </c>
      <c r="G14" s="11">
        <v>0.44500000000000001</v>
      </c>
      <c r="H14" s="11">
        <v>0.41499999999999998</v>
      </c>
      <c r="I14" s="11">
        <v>0.39600000000000002</v>
      </c>
      <c r="J14" s="11">
        <v>0.38200000000000001</v>
      </c>
      <c r="K14" s="11">
        <v>0.37</v>
      </c>
      <c r="L14" s="11">
        <v>0.36099999999999999</v>
      </c>
      <c r="M14" s="11">
        <v>0.35299999999999998</v>
      </c>
      <c r="N14" s="11">
        <v>0.34799999999999998</v>
      </c>
      <c r="O14" s="11">
        <v>0.34200000000000003</v>
      </c>
      <c r="P14" s="11">
        <v>0.33800000000000002</v>
      </c>
      <c r="Q14" s="11">
        <v>0.33400000000000002</v>
      </c>
    </row>
    <row r="15" spans="1:19" x14ac:dyDescent="0.25">
      <c r="A15" s="2148">
        <v>1</v>
      </c>
      <c r="B15" s="10">
        <v>1</v>
      </c>
      <c r="C15" s="11">
        <v>1</v>
      </c>
      <c r="D15" s="11">
        <v>0.90500000000000003</v>
      </c>
      <c r="E15" s="11">
        <v>0.82699999999999996</v>
      </c>
      <c r="F15" s="11">
        <v>0.77700000000000002</v>
      </c>
      <c r="G15" s="11">
        <v>0.73099999999999998</v>
      </c>
      <c r="H15" s="11">
        <v>0.69699999999999995</v>
      </c>
      <c r="I15" s="11">
        <v>0.67</v>
      </c>
      <c r="J15" s="11">
        <v>0.64500000000000002</v>
      </c>
      <c r="K15" s="11">
        <v>0.626</v>
      </c>
      <c r="L15" s="11">
        <v>0.61</v>
      </c>
      <c r="M15" s="11">
        <v>0.59799999999999998</v>
      </c>
      <c r="N15" s="11">
        <v>0.58799999999999997</v>
      </c>
      <c r="O15" s="11">
        <v>0.57899999999999996</v>
      </c>
      <c r="P15" s="11">
        <v>0.57099999999999995</v>
      </c>
      <c r="Q15" s="11">
        <v>0.56499999999999995</v>
      </c>
    </row>
    <row r="16" spans="1:19" x14ac:dyDescent="0.25">
      <c r="A16" s="2148"/>
      <c r="B16" s="10">
        <v>2</v>
      </c>
      <c r="C16" s="11">
        <v>0.92</v>
      </c>
      <c r="D16" s="11">
        <v>0.77100000000000002</v>
      </c>
      <c r="E16" s="11">
        <v>0.68100000000000005</v>
      </c>
      <c r="F16" s="11">
        <v>0.629</v>
      </c>
      <c r="G16" s="11">
        <v>0.59</v>
      </c>
      <c r="H16" s="11">
        <v>0.56000000000000005</v>
      </c>
      <c r="I16" s="11">
        <v>0.53800000000000003</v>
      </c>
      <c r="J16" s="11">
        <v>0.51900000000000002</v>
      </c>
      <c r="K16" s="11">
        <v>0.502</v>
      </c>
      <c r="L16" s="11">
        <v>0.49099999999999999</v>
      </c>
      <c r="M16" s="11">
        <v>0.48</v>
      </c>
      <c r="N16" s="11">
        <v>0.47099999999999997</v>
      </c>
      <c r="O16" s="11">
        <v>0.46200000000000002</v>
      </c>
      <c r="P16" s="11">
        <v>0.45500000000000002</v>
      </c>
      <c r="Q16" s="11">
        <v>0.45</v>
      </c>
    </row>
    <row r="17" spans="1:17" x14ac:dyDescent="0.25">
      <c r="A17" s="2148"/>
      <c r="B17" s="10">
        <v>3</v>
      </c>
      <c r="C17" s="11">
        <v>0.81599999999999995</v>
      </c>
      <c r="D17" s="11">
        <v>0.68100000000000005</v>
      </c>
      <c r="E17" s="11">
        <v>0.58799999999999997</v>
      </c>
      <c r="F17" s="11">
        <v>0.53200000000000003</v>
      </c>
      <c r="G17" s="11">
        <v>0.497</v>
      </c>
      <c r="H17" s="11">
        <v>0.46899999999999997</v>
      </c>
      <c r="I17" s="11">
        <v>0.44800000000000001</v>
      </c>
      <c r="J17" s="11">
        <v>0.432</v>
      </c>
      <c r="K17" s="11">
        <v>0.41799999999999998</v>
      </c>
      <c r="L17" s="11">
        <v>0.40699999999999997</v>
      </c>
      <c r="M17" s="11">
        <v>0.39700000000000002</v>
      </c>
      <c r="N17" s="11">
        <v>0.38900000000000001</v>
      </c>
      <c r="O17" s="11">
        <v>0.38200000000000001</v>
      </c>
      <c r="P17" s="11">
        <v>0.376</v>
      </c>
      <c r="Q17" s="11">
        <v>0.37</v>
      </c>
    </row>
    <row r="18" spans="1:17" x14ac:dyDescent="0.25">
      <c r="A18" s="2148"/>
      <c r="B18" s="10">
        <v>4</v>
      </c>
      <c r="C18" s="11">
        <v>0.78500000000000003</v>
      </c>
      <c r="D18" s="11">
        <v>0.60499999999999998</v>
      </c>
      <c r="E18" s="11">
        <v>0.52400000000000002</v>
      </c>
      <c r="F18" s="11">
        <v>0.47099999999999997</v>
      </c>
      <c r="G18" s="11">
        <v>0.435</v>
      </c>
      <c r="H18" s="11">
        <v>0.41</v>
      </c>
      <c r="I18" s="11">
        <v>0.39</v>
      </c>
      <c r="J18" s="11">
        <v>0.376</v>
      </c>
      <c r="K18" s="11">
        <v>0.36399999999999999</v>
      </c>
      <c r="L18" s="11">
        <v>0.35299999999999998</v>
      </c>
      <c r="M18" s="11">
        <v>0.34699999999999998</v>
      </c>
      <c r="N18" s="11">
        <v>0.34</v>
      </c>
      <c r="O18" s="11">
        <v>0.33300000000000002</v>
      </c>
      <c r="P18" s="11">
        <v>0.32800000000000001</v>
      </c>
      <c r="Q18" s="11">
        <v>0.32300000000000001</v>
      </c>
    </row>
    <row r="19" spans="1:17" x14ac:dyDescent="0.25">
      <c r="A19" s="2148" t="s">
        <v>662</v>
      </c>
      <c r="B19" s="10">
        <v>1</v>
      </c>
      <c r="C19" s="11">
        <v>1</v>
      </c>
      <c r="D19" s="11">
        <v>0.90400000000000003</v>
      </c>
      <c r="E19" s="11">
        <v>0.82499999999999996</v>
      </c>
      <c r="F19" s="11">
        <v>0.77500000000000002</v>
      </c>
      <c r="G19" s="11">
        <v>0.72899999999999998</v>
      </c>
      <c r="H19" s="11">
        <v>0.69499999999999995</v>
      </c>
      <c r="I19" s="11">
        <v>0.66800000000000004</v>
      </c>
      <c r="J19" s="11">
        <v>0.64300000000000002</v>
      </c>
      <c r="K19" s="11">
        <v>0.624</v>
      </c>
      <c r="L19" s="11">
        <v>0.60899999999999999</v>
      </c>
      <c r="M19" s="11">
        <v>0.59699999999999998</v>
      </c>
      <c r="N19" s="11">
        <v>0.58699999999999997</v>
      </c>
      <c r="O19" s="11">
        <v>0.57799999999999996</v>
      </c>
      <c r="P19" s="11">
        <v>0.56999999999999995</v>
      </c>
      <c r="Q19" s="11">
        <v>0.56399999999999995</v>
      </c>
    </row>
    <row r="20" spans="1:17" x14ac:dyDescent="0.25">
      <c r="A20" s="2148"/>
      <c r="B20" s="10">
        <v>2</v>
      </c>
      <c r="C20" s="11">
        <v>0.91200000000000003</v>
      </c>
      <c r="D20" s="11">
        <v>0.76500000000000001</v>
      </c>
      <c r="E20" s="11">
        <v>0.67100000000000004</v>
      </c>
      <c r="F20" s="11">
        <v>0.61899999999999999</v>
      </c>
      <c r="G20" s="11">
        <v>0.57999999999999996</v>
      </c>
      <c r="H20" s="11">
        <v>0.54900000000000004</v>
      </c>
      <c r="I20" s="11">
        <v>0.52700000000000002</v>
      </c>
      <c r="J20" s="11">
        <v>0.50900000000000001</v>
      </c>
      <c r="K20" s="11">
        <v>0.49399999999999999</v>
      </c>
      <c r="L20" s="11">
        <v>0.48099999999999998</v>
      </c>
      <c r="M20" s="11">
        <v>0.47099999999999997</v>
      </c>
      <c r="N20" s="11">
        <v>0.46200000000000002</v>
      </c>
      <c r="O20" s="11">
        <v>0.45300000000000001</v>
      </c>
      <c r="P20" s="11">
        <v>0.44600000000000001</v>
      </c>
      <c r="Q20" s="11">
        <v>0.44</v>
      </c>
    </row>
    <row r="21" spans="1:17" x14ac:dyDescent="0.25">
      <c r="A21" s="2148"/>
      <c r="B21" s="10">
        <v>3</v>
      </c>
      <c r="C21" s="11">
        <v>0.81100000000000005</v>
      </c>
      <c r="D21" s="11">
        <v>0.67100000000000004</v>
      </c>
      <c r="E21" s="11">
        <v>0.58099999999999996</v>
      </c>
      <c r="F21" s="11">
        <v>0.52500000000000002</v>
      </c>
      <c r="G21" s="11">
        <v>0.48799999999999999</v>
      </c>
      <c r="H21" s="11">
        <v>0.46</v>
      </c>
      <c r="I21" s="11">
        <v>0.44</v>
      </c>
      <c r="J21" s="11">
        <v>0.42299999999999999</v>
      </c>
      <c r="K21" s="11">
        <v>0.40899999999999997</v>
      </c>
      <c r="L21" s="11">
        <v>0.39800000000000002</v>
      </c>
      <c r="M21" s="11">
        <v>0.38700000000000001</v>
      </c>
      <c r="N21" s="11">
        <v>0.379</v>
      </c>
      <c r="O21" s="11">
        <v>0.372</v>
      </c>
      <c r="P21" s="11">
        <v>0.36499999999999999</v>
      </c>
      <c r="Q21" s="11">
        <v>0.35899999999999999</v>
      </c>
    </row>
    <row r="22" spans="1:17" x14ac:dyDescent="0.25">
      <c r="A22" s="2148"/>
      <c r="B22" s="10">
        <v>4</v>
      </c>
      <c r="C22" s="11">
        <v>0.73</v>
      </c>
      <c r="D22" s="11">
        <v>0.60399999999999998</v>
      </c>
      <c r="E22" s="11">
        <v>0.51800000000000002</v>
      </c>
      <c r="F22" s="11">
        <v>0.46400000000000002</v>
      </c>
      <c r="G22" s="11">
        <v>0.43099999999999999</v>
      </c>
      <c r="H22" s="11">
        <v>0.40600000000000003</v>
      </c>
      <c r="I22" s="11">
        <v>0.38500000000000001</v>
      </c>
      <c r="J22" s="11">
        <v>0.372</v>
      </c>
      <c r="K22" s="11">
        <v>0.35899999999999999</v>
      </c>
      <c r="L22" s="11">
        <v>0.34899999999999998</v>
      </c>
      <c r="M22" s="11">
        <v>0.34100000000000003</v>
      </c>
      <c r="N22" s="11">
        <v>0.33500000000000002</v>
      </c>
      <c r="O22" s="11">
        <v>0.32900000000000001</v>
      </c>
      <c r="P22" s="11">
        <v>0.32400000000000001</v>
      </c>
      <c r="Q22" s="11">
        <v>0.32</v>
      </c>
    </row>
    <row r="23" spans="1:17" x14ac:dyDescent="0.25">
      <c r="A23" s="2148" t="s">
        <v>665</v>
      </c>
      <c r="B23" s="10">
        <v>1</v>
      </c>
      <c r="C23" s="11">
        <v>1</v>
      </c>
      <c r="D23" s="11">
        <v>0.90400000000000003</v>
      </c>
      <c r="E23" s="11">
        <v>0.82299999999999995</v>
      </c>
      <c r="F23" s="11">
        <v>0.77300000000000002</v>
      </c>
      <c r="G23" s="11">
        <v>0.72799999999999998</v>
      </c>
      <c r="H23" s="11">
        <v>0.69399999999999995</v>
      </c>
      <c r="I23" s="11">
        <v>0.66800000000000004</v>
      </c>
      <c r="J23" s="11">
        <v>0.64300000000000002</v>
      </c>
      <c r="K23" s="11">
        <v>0.624</v>
      </c>
      <c r="L23" s="11">
        <v>0.60899999999999999</v>
      </c>
      <c r="M23" s="11">
        <v>0.57999999999999996</v>
      </c>
      <c r="N23" s="11">
        <v>0.59699999999999998</v>
      </c>
      <c r="O23" s="11">
        <v>0.58699999999999997</v>
      </c>
      <c r="P23" s="11">
        <v>0.57799999999999996</v>
      </c>
      <c r="Q23" s="11">
        <v>0.56999999999999995</v>
      </c>
    </row>
    <row r="24" spans="1:17" x14ac:dyDescent="0.25">
      <c r="A24" s="2148"/>
      <c r="B24" s="10">
        <v>2</v>
      </c>
      <c r="C24" s="11">
        <v>0.90300000000000002</v>
      </c>
      <c r="D24" s="11">
        <v>0.76100000000000001</v>
      </c>
      <c r="E24" s="11">
        <v>0.66700000000000004</v>
      </c>
      <c r="F24" s="11">
        <v>0.61199999999999999</v>
      </c>
      <c r="G24" s="11">
        <v>0.57299999999999995</v>
      </c>
      <c r="H24" s="11">
        <v>0.54200000000000004</v>
      </c>
      <c r="I24" s="11">
        <v>0.52</v>
      </c>
      <c r="J24" s="11">
        <v>0.5</v>
      </c>
      <c r="K24" s="11">
        <v>0.48799999999999999</v>
      </c>
      <c r="L24" s="11">
        <v>0.47499999999999998</v>
      </c>
      <c r="M24" s="11">
        <v>0.46300000000000002</v>
      </c>
      <c r="N24" s="11">
        <v>0.45500000000000002</v>
      </c>
      <c r="O24" s="11">
        <v>0.44800000000000001</v>
      </c>
      <c r="P24" s="11">
        <v>0.441</v>
      </c>
      <c r="Q24" s="11">
        <v>0.434</v>
      </c>
    </row>
    <row r="25" spans="1:17" x14ac:dyDescent="0.25">
      <c r="A25" s="2148"/>
      <c r="B25" s="10">
        <v>3</v>
      </c>
      <c r="C25" s="11">
        <v>0.8</v>
      </c>
      <c r="D25" s="11">
        <v>0.66700000000000004</v>
      </c>
      <c r="E25" s="11">
        <v>0.57799999999999996</v>
      </c>
      <c r="F25" s="11">
        <v>0.52</v>
      </c>
      <c r="G25" s="11">
        <v>0.48199999999999998</v>
      </c>
      <c r="H25" s="11">
        <v>0.45400000000000001</v>
      </c>
      <c r="I25" s="11">
        <v>0.433</v>
      </c>
      <c r="J25" s="11">
        <v>0.41799999999999998</v>
      </c>
      <c r="K25" s="11">
        <v>0.40200000000000002</v>
      </c>
      <c r="L25" s="11">
        <v>0.39100000000000001</v>
      </c>
      <c r="M25" s="11">
        <v>0.38200000000000001</v>
      </c>
      <c r="N25" s="11">
        <v>0.374</v>
      </c>
      <c r="O25" s="11">
        <v>0.36699999999999999</v>
      </c>
      <c r="P25" s="11">
        <v>0.36</v>
      </c>
      <c r="Q25" s="11">
        <v>0.35299999999999998</v>
      </c>
    </row>
    <row r="26" spans="1:17" x14ac:dyDescent="0.25">
      <c r="A26" s="2148"/>
      <c r="B26" s="10">
        <v>4</v>
      </c>
      <c r="C26" s="11">
        <v>0.72199999999999998</v>
      </c>
      <c r="D26" s="11">
        <v>0.59699999999999998</v>
      </c>
      <c r="E26" s="11">
        <v>0.51100000000000001</v>
      </c>
      <c r="F26" s="11">
        <v>0.46</v>
      </c>
      <c r="G26" s="11">
        <v>0.42499999999999999</v>
      </c>
      <c r="H26" s="11">
        <v>0.4</v>
      </c>
      <c r="I26" s="11">
        <v>0.38</v>
      </c>
      <c r="J26" s="11">
        <v>0.36499999999999999</v>
      </c>
      <c r="K26" s="11">
        <v>0.35299999999999998</v>
      </c>
      <c r="L26" s="11">
        <v>0.34300000000000003</v>
      </c>
      <c r="M26" s="11">
        <v>0.33500000000000002</v>
      </c>
      <c r="N26" s="11">
        <v>0.32900000000000001</v>
      </c>
      <c r="O26" s="11">
        <v>0.32200000000000001</v>
      </c>
      <c r="P26" s="11">
        <v>0.317</v>
      </c>
      <c r="Q26" s="11">
        <v>0.312</v>
      </c>
    </row>
    <row r="27" spans="1:17" x14ac:dyDescent="0.25">
      <c r="A27" s="2148" t="s">
        <v>668</v>
      </c>
      <c r="B27" s="10">
        <v>1</v>
      </c>
      <c r="C27" s="11">
        <v>1</v>
      </c>
      <c r="D27" s="11">
        <v>0.89800000000000002</v>
      </c>
      <c r="E27" s="11">
        <v>0.81399999999999995</v>
      </c>
      <c r="F27" s="11">
        <v>0.76500000000000001</v>
      </c>
      <c r="G27" s="11">
        <v>0.72199999999999998</v>
      </c>
      <c r="H27" s="11">
        <v>0.69</v>
      </c>
      <c r="I27" s="11">
        <v>0.66100000000000003</v>
      </c>
      <c r="J27" s="11">
        <v>0.63700000000000001</v>
      </c>
      <c r="K27" s="11">
        <v>0.61799999999999999</v>
      </c>
      <c r="L27" s="11">
        <v>0.60199999999999998</v>
      </c>
      <c r="M27" s="11">
        <v>0.59</v>
      </c>
      <c r="N27" s="11">
        <v>0.57999999999999996</v>
      </c>
      <c r="O27" s="11">
        <v>0.57099999999999995</v>
      </c>
      <c r="P27" s="11">
        <v>0.56299999999999994</v>
      </c>
      <c r="Q27" s="11">
        <v>0.55600000000000005</v>
      </c>
    </row>
    <row r="28" spans="1:17" x14ac:dyDescent="0.25">
      <c r="A28" s="2148"/>
      <c r="B28" s="10">
        <v>2</v>
      </c>
      <c r="C28" s="11">
        <v>0.89800000000000002</v>
      </c>
      <c r="D28" s="11">
        <v>0.752</v>
      </c>
      <c r="E28" s="11">
        <v>0.66400000000000003</v>
      </c>
      <c r="F28" s="11">
        <v>0.60899999999999999</v>
      </c>
      <c r="G28" s="11">
        <v>0.56999999999999995</v>
      </c>
      <c r="H28" s="11">
        <v>0.53900000000000003</v>
      </c>
      <c r="I28" s="11">
        <v>0.45100000000000001</v>
      </c>
      <c r="J28" s="11">
        <v>0.498</v>
      </c>
      <c r="K28" s="11">
        <v>0.48299999999999998</v>
      </c>
      <c r="L28" s="11">
        <v>0.47099999999999997</v>
      </c>
      <c r="M28" s="11">
        <v>0.46100000000000002</v>
      </c>
      <c r="N28" s="11">
        <v>0.45100000000000001</v>
      </c>
      <c r="O28" s="11">
        <v>0.443</v>
      </c>
      <c r="P28" s="11">
        <v>0.437</v>
      </c>
      <c r="Q28" s="11">
        <v>0.42899999999999999</v>
      </c>
    </row>
    <row r="29" spans="1:17" x14ac:dyDescent="0.25">
      <c r="A29" s="2148"/>
      <c r="B29" s="10">
        <v>3</v>
      </c>
      <c r="C29" s="11">
        <v>0.80200000000000005</v>
      </c>
      <c r="D29" s="11">
        <v>0.66400000000000003</v>
      </c>
      <c r="E29" s="11">
        <v>0.57199999999999995</v>
      </c>
      <c r="F29" s="11">
        <v>0.51400000000000001</v>
      </c>
      <c r="G29" s="11">
        <v>0.47899999999999998</v>
      </c>
      <c r="H29" s="11">
        <v>0.45100000000000001</v>
      </c>
      <c r="I29" s="11">
        <v>0.43</v>
      </c>
      <c r="J29" s="11">
        <v>0.41399999999999998</v>
      </c>
      <c r="K29" s="11">
        <v>0.39900000000000002</v>
      </c>
      <c r="L29" s="11">
        <v>0.38800000000000001</v>
      </c>
      <c r="M29" s="11">
        <v>0.379</v>
      </c>
      <c r="N29" s="11">
        <v>0.371</v>
      </c>
      <c r="O29" s="11">
        <v>0.36399999999999999</v>
      </c>
      <c r="P29" s="11">
        <v>0.35699999999999998</v>
      </c>
      <c r="Q29" s="11">
        <v>0.35</v>
      </c>
    </row>
    <row r="30" spans="1:17" x14ac:dyDescent="0.25">
      <c r="A30" s="2148"/>
      <c r="B30" s="10">
        <v>4</v>
      </c>
      <c r="C30" s="11">
        <v>0.72</v>
      </c>
      <c r="D30" s="11">
        <v>0.59299999999999997</v>
      </c>
      <c r="E30" s="11">
        <v>0.50800000000000001</v>
      </c>
      <c r="F30" s="11">
        <v>0.45600000000000002</v>
      </c>
      <c r="G30" s="11">
        <v>0.42099999999999999</v>
      </c>
      <c r="H30" s="11">
        <v>0.39600000000000002</v>
      </c>
      <c r="I30" s="11">
        <v>0.377</v>
      </c>
      <c r="J30" s="11">
        <v>0.36199999999999999</v>
      </c>
      <c r="K30" s="11">
        <v>0.35</v>
      </c>
      <c r="L30" s="11">
        <v>0.34</v>
      </c>
      <c r="M30" s="11">
        <v>0.33200000000000002</v>
      </c>
      <c r="N30" s="11">
        <v>0.32700000000000001</v>
      </c>
      <c r="O30" s="11">
        <v>0.32</v>
      </c>
      <c r="P30" s="11">
        <v>0.314</v>
      </c>
      <c r="Q30" s="11">
        <v>0.31</v>
      </c>
    </row>
    <row r="31" spans="1:17" x14ac:dyDescent="0.25">
      <c r="A31" s="2148" t="s">
        <v>671</v>
      </c>
      <c r="B31" s="10">
        <v>1</v>
      </c>
      <c r="C31" s="11">
        <v>1</v>
      </c>
      <c r="D31" s="11">
        <v>0.89400000000000002</v>
      </c>
      <c r="E31" s="11">
        <v>0.81100000000000005</v>
      </c>
      <c r="F31" s="11">
        <v>0.76200000000000001</v>
      </c>
      <c r="G31" s="11">
        <v>0.71699999999999997</v>
      </c>
      <c r="H31" s="11">
        <v>0.68200000000000005</v>
      </c>
      <c r="I31" s="11">
        <v>0.65300000000000002</v>
      </c>
      <c r="J31" s="11">
        <v>0.63100000000000001</v>
      </c>
      <c r="K31" s="11">
        <v>0.61199999999999999</v>
      </c>
      <c r="L31" s="11">
        <v>0.59699999999999998</v>
      </c>
      <c r="M31" s="11">
        <v>0.58499999999999996</v>
      </c>
      <c r="N31" s="11">
        <v>0.57399999999999995</v>
      </c>
      <c r="O31" s="11">
        <v>0.56599999999999995</v>
      </c>
      <c r="P31" s="11">
        <v>0.55800000000000005</v>
      </c>
      <c r="Q31" s="11">
        <v>0.55000000000000004</v>
      </c>
    </row>
    <row r="32" spans="1:17" x14ac:dyDescent="0.25">
      <c r="A32" s="2148"/>
      <c r="B32" s="10">
        <v>2</v>
      </c>
      <c r="C32" s="11">
        <v>0.89600000000000002</v>
      </c>
      <c r="D32" s="11">
        <v>0.74299999999999999</v>
      </c>
      <c r="E32" s="11">
        <v>0.65600000000000003</v>
      </c>
      <c r="F32" s="11">
        <v>0.60299999999999998</v>
      </c>
      <c r="G32" s="11">
        <v>0.56499999999999995</v>
      </c>
      <c r="H32" s="11">
        <v>0.53600000000000003</v>
      </c>
      <c r="I32" s="11">
        <v>0.51300000000000001</v>
      </c>
      <c r="J32" s="11">
        <v>0.496</v>
      </c>
      <c r="K32" s="11">
        <v>0.48</v>
      </c>
      <c r="L32" s="11">
        <v>0.46800000000000003</v>
      </c>
      <c r="M32" s="11">
        <v>0.45900000000000002</v>
      </c>
      <c r="N32" s="11">
        <v>0.44900000000000001</v>
      </c>
      <c r="O32" s="11">
        <v>0.441</v>
      </c>
      <c r="P32" s="11">
        <v>0.434</v>
      </c>
      <c r="Q32" s="11">
        <v>0.42699999999999999</v>
      </c>
    </row>
    <row r="33" spans="1:17" x14ac:dyDescent="0.25">
      <c r="A33" s="2148"/>
      <c r="B33" s="10">
        <v>3</v>
      </c>
      <c r="C33" s="11">
        <v>0.79500000000000004</v>
      </c>
      <c r="D33" s="11">
        <v>0.65600000000000003</v>
      </c>
      <c r="E33" s="11">
        <v>0.56399999999999995</v>
      </c>
      <c r="F33" s="11">
        <v>0.51300000000000001</v>
      </c>
      <c r="G33" s="11">
        <v>0.47399999999999998</v>
      </c>
      <c r="H33" s="11">
        <v>0.44700000000000001</v>
      </c>
      <c r="I33" s="11">
        <v>0.42699999999999999</v>
      </c>
      <c r="J33" s="11">
        <v>0.41099999999999998</v>
      </c>
      <c r="K33" s="11">
        <v>0.39700000000000002</v>
      </c>
      <c r="L33" s="11">
        <v>0.38600000000000001</v>
      </c>
      <c r="M33" s="11">
        <v>0.377</v>
      </c>
      <c r="N33" s="11">
        <v>0.36899999999999999</v>
      </c>
      <c r="O33" s="11">
        <v>0.36199999999999999</v>
      </c>
      <c r="P33" s="11">
        <v>0.35499999999999998</v>
      </c>
      <c r="Q33" s="11">
        <v>0.34899999999999998</v>
      </c>
    </row>
    <row r="34" spans="1:17" x14ac:dyDescent="0.25">
      <c r="A34" s="2148"/>
      <c r="B34" s="10">
        <v>4</v>
      </c>
      <c r="C34" s="11">
        <v>0.71099999999999997</v>
      </c>
      <c r="D34" s="11">
        <v>0.58399999999999996</v>
      </c>
      <c r="E34" s="11">
        <v>0.502</v>
      </c>
      <c r="F34" s="11">
        <v>0.45</v>
      </c>
      <c r="G34" s="11">
        <v>0.41699999999999998</v>
      </c>
      <c r="H34" s="11">
        <v>0.39200000000000002</v>
      </c>
      <c r="I34" s="11">
        <v>0.374</v>
      </c>
      <c r="J34" s="11">
        <v>0.35899999999999999</v>
      </c>
      <c r="K34" s="11">
        <v>0.34799999999999998</v>
      </c>
      <c r="L34" s="11">
        <v>0.33800000000000002</v>
      </c>
      <c r="M34" s="11">
        <v>0.32900000000000001</v>
      </c>
      <c r="N34" s="11">
        <v>0.32400000000000001</v>
      </c>
      <c r="O34" s="11">
        <v>0.317</v>
      </c>
      <c r="P34" s="11">
        <v>0.311</v>
      </c>
      <c r="Q34" s="11">
        <v>0.307</v>
      </c>
    </row>
    <row r="35" spans="1:17" x14ac:dyDescent="0.25">
      <c r="A35" s="2148">
        <v>250</v>
      </c>
      <c r="B35" s="10">
        <v>1</v>
      </c>
      <c r="C35" s="11">
        <v>1</v>
      </c>
      <c r="D35" s="11">
        <v>0.89200000000000002</v>
      </c>
      <c r="E35" s="11">
        <v>0.81100000000000005</v>
      </c>
      <c r="F35" s="11">
        <v>0.76200000000000001</v>
      </c>
      <c r="G35" s="11">
        <v>0.71499999999999997</v>
      </c>
      <c r="H35" s="11">
        <v>0.67900000000000005</v>
      </c>
      <c r="I35" s="11">
        <v>0.64500000000000002</v>
      </c>
      <c r="J35" s="11">
        <v>0.62</v>
      </c>
      <c r="K35" s="11">
        <v>0.6</v>
      </c>
      <c r="L35" s="11">
        <v>0.58299999999999996</v>
      </c>
      <c r="M35" s="11">
        <v>0.57199999999999995</v>
      </c>
      <c r="N35" s="11">
        <v>0.56399999999999995</v>
      </c>
      <c r="O35" s="11">
        <v>0.55700000000000005</v>
      </c>
      <c r="P35" s="11">
        <v>0.55200000000000005</v>
      </c>
      <c r="Q35" s="11">
        <v>0.55000000000000004</v>
      </c>
    </row>
    <row r="36" spans="1:17" x14ac:dyDescent="0.25">
      <c r="A36" s="2148"/>
      <c r="B36" s="10">
        <v>2</v>
      </c>
      <c r="C36" s="11">
        <v>0.88500000000000001</v>
      </c>
      <c r="D36" s="11">
        <v>0.74099999999999999</v>
      </c>
      <c r="E36" s="11">
        <v>0.65400000000000003</v>
      </c>
      <c r="F36" s="11">
        <v>0.59399999999999997</v>
      </c>
      <c r="G36" s="11">
        <v>0.55200000000000005</v>
      </c>
      <c r="H36" s="11">
        <v>0.52300000000000002</v>
      </c>
      <c r="I36" s="11">
        <v>0.5</v>
      </c>
      <c r="J36" s="11">
        <v>0.48199999999999998</v>
      </c>
      <c r="K36" s="11">
        <v>0.46899999999999997</v>
      </c>
      <c r="L36" s="11">
        <v>0.45700000000000002</v>
      </c>
      <c r="M36" s="11">
        <v>0.44700000000000001</v>
      </c>
      <c r="N36" s="11">
        <v>0.438</v>
      </c>
      <c r="O36" s="11">
        <v>0.43</v>
      </c>
      <c r="P36" s="11">
        <v>0.42199999999999999</v>
      </c>
      <c r="Q36" s="11">
        <v>0.41599999999999998</v>
      </c>
    </row>
    <row r="37" spans="1:17" x14ac:dyDescent="0.25">
      <c r="A37" s="2148"/>
      <c r="B37" s="10">
        <v>3</v>
      </c>
      <c r="C37" s="11">
        <v>0.78500000000000003</v>
      </c>
      <c r="D37" s="11">
        <v>0.65400000000000003</v>
      </c>
      <c r="E37" s="11">
        <v>0.55900000000000005</v>
      </c>
      <c r="F37" s="11">
        <v>0.498</v>
      </c>
      <c r="G37" s="11">
        <v>0.45900000000000002</v>
      </c>
      <c r="H37" s="11">
        <v>0.42899999999999999</v>
      </c>
      <c r="I37" s="11">
        <v>0.40799999999999997</v>
      </c>
      <c r="J37" s="11">
        <v>0.38800000000000001</v>
      </c>
      <c r="K37" s="11">
        <v>0.373</v>
      </c>
      <c r="L37" s="11">
        <v>0.36099999999999999</v>
      </c>
      <c r="M37" s="11">
        <v>0.35099999999999998</v>
      </c>
      <c r="N37" s="11">
        <v>0.34200000000000003</v>
      </c>
      <c r="O37" s="11">
        <v>0.33500000000000002</v>
      </c>
      <c r="P37" s="11">
        <v>0.32800000000000001</v>
      </c>
      <c r="Q37" s="11">
        <v>0.32100000000000001</v>
      </c>
    </row>
    <row r="38" spans="1:17" x14ac:dyDescent="0.25">
      <c r="A38" s="2148"/>
      <c r="B38" s="10">
        <v>4</v>
      </c>
      <c r="C38" s="11">
        <v>0.70099999999999996</v>
      </c>
      <c r="D38" s="11">
        <v>0.57999999999999996</v>
      </c>
      <c r="E38" s="11">
        <v>0.5</v>
      </c>
      <c r="F38" s="11">
        <v>0.44800000000000001</v>
      </c>
      <c r="G38" s="11">
        <v>0.41399999999999998</v>
      </c>
      <c r="H38" s="11">
        <v>0.38500000000000001</v>
      </c>
      <c r="I38" s="11">
        <v>0.36499999999999999</v>
      </c>
      <c r="J38" s="11">
        <v>0.34799999999999998</v>
      </c>
      <c r="K38" s="11">
        <v>0.33200000000000002</v>
      </c>
      <c r="L38" s="11">
        <v>0.32100000000000001</v>
      </c>
      <c r="M38" s="11">
        <v>0.311</v>
      </c>
      <c r="N38" s="11">
        <v>0.30199999999999999</v>
      </c>
      <c r="O38" s="11">
        <v>0.29499999999999998</v>
      </c>
      <c r="P38" s="11">
        <v>0.28799999999999998</v>
      </c>
      <c r="Q38" s="11">
        <v>0.28100000000000003</v>
      </c>
    </row>
    <row r="39" spans="1:17" ht="12.75" customHeight="1" x14ac:dyDescent="0.25">
      <c r="A39" s="2148">
        <v>350</v>
      </c>
      <c r="B39" s="10">
        <v>1</v>
      </c>
      <c r="C39" s="11">
        <v>1</v>
      </c>
      <c r="D39" s="11">
        <v>0.89</v>
      </c>
      <c r="E39" s="11">
        <v>0.80700000000000005</v>
      </c>
      <c r="F39" s="11">
        <v>0.754</v>
      </c>
      <c r="G39" s="11">
        <v>0.7</v>
      </c>
      <c r="H39" s="11">
        <v>0.66100000000000003</v>
      </c>
      <c r="I39" s="11">
        <v>0.63400000000000001</v>
      </c>
      <c r="J39" s="11">
        <v>0.60899999999999999</v>
      </c>
      <c r="K39" s="11">
        <v>0.58899999999999997</v>
      </c>
      <c r="L39" s="11">
        <v>0.57199999999999995</v>
      </c>
      <c r="M39" s="11">
        <v>0.56100000000000005</v>
      </c>
      <c r="N39" s="11">
        <v>0.55200000000000005</v>
      </c>
      <c r="O39" s="11">
        <v>0.54800000000000004</v>
      </c>
      <c r="P39" s="11">
        <v>0.54200000000000004</v>
      </c>
      <c r="Q39" s="11">
        <v>0.54</v>
      </c>
    </row>
    <row r="40" spans="1:17" ht="12.75" customHeight="1" x14ac:dyDescent="0.25">
      <c r="A40" s="2148"/>
      <c r="B40" s="10">
        <v>2</v>
      </c>
      <c r="C40" s="11">
        <v>0.872</v>
      </c>
      <c r="D40" s="11">
        <v>0.73299999999999998</v>
      </c>
      <c r="E40" s="11">
        <v>0.64100000000000001</v>
      </c>
      <c r="F40" s="11">
        <v>0.57999999999999996</v>
      </c>
      <c r="G40" s="11">
        <v>0.53800000000000003</v>
      </c>
      <c r="H40" s="11">
        <v>0.51</v>
      </c>
      <c r="I40" s="11">
        <v>0.48799999999999999</v>
      </c>
      <c r="J40" s="11">
        <v>0.47</v>
      </c>
      <c r="K40" s="11">
        <v>0.45500000000000002</v>
      </c>
      <c r="L40" s="11">
        <v>0.443</v>
      </c>
      <c r="M40" s="11">
        <v>0.432</v>
      </c>
      <c r="N40" s="11">
        <v>0.42299999999999999</v>
      </c>
      <c r="O40" s="11">
        <v>0.41499999999999998</v>
      </c>
      <c r="P40" s="11">
        <v>0.40799999999999997</v>
      </c>
      <c r="Q40" s="11">
        <v>0.4</v>
      </c>
    </row>
    <row r="41" spans="1:17" ht="12.75" customHeight="1" x14ac:dyDescent="0.25">
      <c r="A41" s="2148"/>
      <c r="B41" s="10">
        <v>3</v>
      </c>
      <c r="C41" s="11">
        <v>0.77200000000000002</v>
      </c>
      <c r="D41" s="11">
        <v>0.64100000000000001</v>
      </c>
      <c r="E41" s="11">
        <v>0.55000000000000004</v>
      </c>
      <c r="F41" s="11">
        <v>0.49199999999999999</v>
      </c>
      <c r="G41" s="11">
        <v>0.45100000000000001</v>
      </c>
      <c r="H41" s="11">
        <v>0.42</v>
      </c>
      <c r="I41" s="11">
        <v>0.39600000000000002</v>
      </c>
      <c r="J41" s="11">
        <v>0.377</v>
      </c>
      <c r="K41" s="11">
        <v>0.36199999999999999</v>
      </c>
      <c r="L41" s="11">
        <v>0.35</v>
      </c>
      <c r="M41" s="11">
        <v>0.34</v>
      </c>
      <c r="N41" s="11">
        <v>0.33100000000000002</v>
      </c>
      <c r="O41" s="11">
        <v>0.32300000000000001</v>
      </c>
      <c r="P41" s="11">
        <v>0.316</v>
      </c>
      <c r="Q41" s="11">
        <v>0.31</v>
      </c>
    </row>
    <row r="42" spans="1:17" ht="12.75" customHeight="1" x14ac:dyDescent="0.25">
      <c r="A42" s="2148"/>
      <c r="B42" s="10">
        <v>4</v>
      </c>
      <c r="C42" s="11">
        <v>0.68100000000000005</v>
      </c>
      <c r="D42" s="11">
        <v>0.57199999999999995</v>
      </c>
      <c r="E42" s="11">
        <v>0.49099999999999999</v>
      </c>
      <c r="F42" s="11">
        <v>0.44</v>
      </c>
      <c r="G42" s="11">
        <v>0.40200000000000002</v>
      </c>
      <c r="H42" s="11">
        <v>0.375</v>
      </c>
      <c r="I42" s="11">
        <v>0.35399999999999998</v>
      </c>
      <c r="J42" s="11">
        <v>0.33700000000000002</v>
      </c>
      <c r="K42" s="11">
        <v>0.32200000000000001</v>
      </c>
      <c r="L42" s="11">
        <v>0.311</v>
      </c>
      <c r="M42" s="11">
        <v>0.3</v>
      </c>
      <c r="N42" s="11">
        <v>0.29199999999999998</v>
      </c>
      <c r="O42" s="11">
        <v>0.28499999999999998</v>
      </c>
      <c r="P42" s="11">
        <v>0.27800000000000002</v>
      </c>
      <c r="Q42" s="11">
        <v>0.27100000000000002</v>
      </c>
    </row>
    <row r="43" spans="1:17" ht="12.75" customHeight="1" x14ac:dyDescent="0.25">
      <c r="A43" s="2148">
        <v>500</v>
      </c>
      <c r="B43" s="10">
        <v>1</v>
      </c>
      <c r="C43" s="11">
        <v>1</v>
      </c>
      <c r="D43" s="11">
        <v>0.88500000000000001</v>
      </c>
      <c r="E43" s="11">
        <v>0.80100000000000005</v>
      </c>
      <c r="F43" s="11">
        <v>0.745</v>
      </c>
      <c r="G43" s="11">
        <v>0.69199999999999995</v>
      </c>
      <c r="H43" s="11">
        <v>0.65</v>
      </c>
      <c r="I43" s="11">
        <v>0.62</v>
      </c>
      <c r="J43" s="11">
        <v>0.59299999999999997</v>
      </c>
      <c r="K43" s="11">
        <v>0.57299999999999995</v>
      </c>
      <c r="L43" s="11">
        <v>0.55900000000000005</v>
      </c>
      <c r="M43" s="11">
        <v>0.54800000000000004</v>
      </c>
      <c r="N43" s="11">
        <v>0.53900000000000003</v>
      </c>
      <c r="O43" s="11">
        <v>0.53300000000000003</v>
      </c>
      <c r="P43" s="11">
        <v>0.52900000000000003</v>
      </c>
      <c r="Q43" s="11">
        <v>0.52600000000000002</v>
      </c>
    </row>
    <row r="44" spans="1:17" ht="12.75" customHeight="1" x14ac:dyDescent="0.25">
      <c r="A44" s="2148"/>
      <c r="B44" s="10">
        <v>2</v>
      </c>
      <c r="C44" s="11">
        <v>0.86199999999999999</v>
      </c>
      <c r="D44" s="11">
        <v>0.72799999999999998</v>
      </c>
      <c r="E44" s="11">
        <v>0.63400000000000001</v>
      </c>
      <c r="F44" s="11">
        <v>0.57199999999999995</v>
      </c>
      <c r="G44" s="11">
        <v>0.53100000000000003</v>
      </c>
      <c r="H44" s="11">
        <v>0.502</v>
      </c>
      <c r="I44" s="11">
        <v>0.48</v>
      </c>
      <c r="J44" s="11">
        <v>0.46200000000000002</v>
      </c>
      <c r="K44" s="11">
        <v>0.44700000000000001</v>
      </c>
      <c r="L44" s="11">
        <v>0.435</v>
      </c>
      <c r="M44" s="11">
        <v>0.42499999999999999</v>
      </c>
      <c r="N44" s="11">
        <v>0.41499999999999998</v>
      </c>
      <c r="O44" s="11">
        <v>0.40699999999999997</v>
      </c>
      <c r="P44" s="11">
        <v>0.4</v>
      </c>
      <c r="Q44" s="11">
        <v>0.39100000000000001</v>
      </c>
    </row>
    <row r="45" spans="1:17" ht="12.75" customHeight="1" x14ac:dyDescent="0.25">
      <c r="A45" s="2148"/>
      <c r="B45" s="10">
        <v>3</v>
      </c>
      <c r="C45" s="11">
        <v>0.76500000000000001</v>
      </c>
      <c r="D45" s="11">
        <v>0.63400000000000001</v>
      </c>
      <c r="E45" s="11">
        <v>0.54200000000000004</v>
      </c>
      <c r="F45" s="11">
        <v>0.48299999999999998</v>
      </c>
      <c r="G45" s="11">
        <v>0.44600000000000001</v>
      </c>
      <c r="H45" s="11">
        <v>0.41499999999999998</v>
      </c>
      <c r="I45" s="11">
        <v>0.39100000000000001</v>
      </c>
      <c r="J45" s="11">
        <v>0.373</v>
      </c>
      <c r="K45" s="11">
        <v>0.35799999999999998</v>
      </c>
      <c r="L45" s="11">
        <v>0.34599999999999997</v>
      </c>
      <c r="M45" s="11">
        <v>0.33500000000000002</v>
      </c>
      <c r="N45" s="11">
        <v>0.32700000000000001</v>
      </c>
      <c r="O45" s="11">
        <v>0.31900000000000001</v>
      </c>
      <c r="P45" s="11">
        <v>0.311</v>
      </c>
      <c r="Q45" s="11">
        <v>0.30499999999999999</v>
      </c>
    </row>
    <row r="46" spans="1:17" ht="12.75" customHeight="1" x14ac:dyDescent="0.25">
      <c r="A46" s="2148"/>
      <c r="B46" s="10">
        <v>4</v>
      </c>
      <c r="C46" s="11">
        <v>0.67600000000000005</v>
      </c>
      <c r="D46" s="11">
        <v>0.57399999999999995</v>
      </c>
      <c r="E46" s="11">
        <v>0.497</v>
      </c>
      <c r="F46" s="11">
        <v>0.44400000000000001</v>
      </c>
      <c r="G46" s="11">
        <v>0.40899999999999997</v>
      </c>
      <c r="H46" s="11">
        <v>0.38500000000000001</v>
      </c>
      <c r="I46" s="11">
        <v>0.36699999999999999</v>
      </c>
      <c r="J46" s="11">
        <v>0.35299999999999998</v>
      </c>
      <c r="K46" s="11">
        <v>0.34200000000000003</v>
      </c>
      <c r="L46" s="11">
        <v>0.33300000000000002</v>
      </c>
      <c r="M46" s="11">
        <v>0.32600000000000001</v>
      </c>
      <c r="N46" s="11">
        <v>0.31900000000000001</v>
      </c>
      <c r="O46" s="11">
        <v>0.315</v>
      </c>
      <c r="P46" s="11">
        <v>0.311</v>
      </c>
      <c r="Q46" s="11">
        <v>0.308</v>
      </c>
    </row>
    <row r="47" spans="1:17" ht="12.75" customHeight="1" x14ac:dyDescent="0.25">
      <c r="A47" s="2148">
        <v>750</v>
      </c>
      <c r="B47" s="10">
        <v>1</v>
      </c>
      <c r="C47" s="11">
        <v>1</v>
      </c>
      <c r="D47" s="11">
        <v>0.879</v>
      </c>
      <c r="E47" s="11">
        <v>0.79</v>
      </c>
      <c r="F47" s="11">
        <v>0.78</v>
      </c>
      <c r="G47" s="11">
        <v>0.68200000000000005</v>
      </c>
      <c r="H47" s="11">
        <v>0.64700000000000002</v>
      </c>
      <c r="I47" s="11">
        <v>0.61499999999999999</v>
      </c>
      <c r="J47" s="11">
        <v>0.58899999999999997</v>
      </c>
      <c r="K47" s="11">
        <v>0.56999999999999995</v>
      </c>
      <c r="L47" s="11">
        <v>0.55600000000000005</v>
      </c>
      <c r="M47" s="11">
        <v>0.54500000000000004</v>
      </c>
      <c r="N47" s="11">
        <v>0.53600000000000003</v>
      </c>
      <c r="O47" s="11">
        <v>0.53</v>
      </c>
      <c r="P47" s="11">
        <v>0.52400000000000002</v>
      </c>
      <c r="Q47" s="11">
        <v>0.52</v>
      </c>
    </row>
    <row r="48" spans="1:17" ht="12.75" customHeight="1" x14ac:dyDescent="0.25">
      <c r="A48" s="2148"/>
      <c r="B48" s="10">
        <v>2</v>
      </c>
      <c r="C48" s="11">
        <v>0.85</v>
      </c>
      <c r="D48" s="11">
        <v>0.71</v>
      </c>
      <c r="E48" s="11">
        <v>0.622</v>
      </c>
      <c r="F48" s="11">
        <v>0.56000000000000005</v>
      </c>
      <c r="G48" s="11">
        <v>0.52</v>
      </c>
      <c r="H48" s="11">
        <v>0.49</v>
      </c>
      <c r="I48" s="11">
        <v>0.46899999999999997</v>
      </c>
      <c r="J48" s="11">
        <v>0.45</v>
      </c>
      <c r="K48" s="11">
        <v>0.436</v>
      </c>
      <c r="L48" s="11">
        <v>0.42399999999999999</v>
      </c>
      <c r="M48" s="11">
        <v>0.41199999999999998</v>
      </c>
      <c r="N48" s="11">
        <v>0.40200000000000002</v>
      </c>
      <c r="O48" s="11">
        <v>0.39400000000000002</v>
      </c>
      <c r="P48" s="11">
        <v>0.38800000000000001</v>
      </c>
      <c r="Q48" s="11">
        <v>0.38100000000000001</v>
      </c>
    </row>
    <row r="49" spans="1:17" ht="12.75" customHeight="1" x14ac:dyDescent="0.25">
      <c r="A49" s="2148"/>
      <c r="B49" s="10">
        <v>3</v>
      </c>
      <c r="C49" s="11">
        <v>0.755</v>
      </c>
      <c r="D49" s="11">
        <v>0.622</v>
      </c>
      <c r="E49" s="11">
        <v>0.53</v>
      </c>
      <c r="F49" s="11">
        <v>0.47899999999999998</v>
      </c>
      <c r="G49" s="11">
        <v>0.441</v>
      </c>
      <c r="H49" s="11">
        <v>0.41</v>
      </c>
      <c r="I49" s="11">
        <v>0.38700000000000001</v>
      </c>
      <c r="J49" s="11">
        <v>0.36799999999999999</v>
      </c>
      <c r="K49" s="11">
        <v>0.35199999999999998</v>
      </c>
      <c r="L49" s="11">
        <v>0.34100000000000003</v>
      </c>
      <c r="M49" s="11">
        <v>0.33100000000000002</v>
      </c>
      <c r="N49" s="11">
        <v>0.32200000000000001</v>
      </c>
      <c r="O49" s="11">
        <v>0.314</v>
      </c>
      <c r="P49" s="11">
        <v>0.307</v>
      </c>
      <c r="Q49" s="11">
        <v>0.3</v>
      </c>
    </row>
    <row r="50" spans="1:17" ht="12.75" customHeight="1" x14ac:dyDescent="0.25">
      <c r="A50" s="2148"/>
      <c r="B50" s="10">
        <v>4</v>
      </c>
      <c r="C50" s="11">
        <v>0.67100000000000004</v>
      </c>
      <c r="D50" s="11">
        <v>0.56000000000000005</v>
      </c>
      <c r="E50" s="11">
        <v>0.48</v>
      </c>
      <c r="F50" s="11">
        <v>0.43</v>
      </c>
      <c r="G50" s="11">
        <v>0.39200000000000002</v>
      </c>
      <c r="H50" s="11">
        <v>0.36599999999999999</v>
      </c>
      <c r="I50" s="11">
        <v>0.34499999999999997</v>
      </c>
      <c r="J50" s="11">
        <v>0.32800000000000001</v>
      </c>
      <c r="K50" s="11">
        <v>0.314</v>
      </c>
      <c r="L50" s="11">
        <v>0.30199999999999999</v>
      </c>
      <c r="M50" s="11">
        <v>0.29199999999999998</v>
      </c>
      <c r="N50" s="11">
        <v>0.28399999999999997</v>
      </c>
      <c r="O50" s="11">
        <v>0.27700000000000002</v>
      </c>
      <c r="P50" s="11">
        <v>0.27</v>
      </c>
      <c r="Q50" s="11">
        <v>0.26300000000000001</v>
      </c>
    </row>
    <row r="51" spans="1:17" ht="12.75" customHeight="1" x14ac:dyDescent="0.25">
      <c r="A51" s="2148">
        <v>1000</v>
      </c>
      <c r="B51" s="10">
        <v>1</v>
      </c>
      <c r="C51" s="11">
        <v>1</v>
      </c>
      <c r="D51" s="11">
        <v>0.873</v>
      </c>
      <c r="E51" s="11">
        <v>0.78600000000000003</v>
      </c>
      <c r="F51" s="11">
        <v>0.73</v>
      </c>
      <c r="G51" s="11">
        <v>0.68</v>
      </c>
      <c r="H51" s="11">
        <v>0.64200000000000002</v>
      </c>
      <c r="I51" s="11">
        <v>0.60899999999999999</v>
      </c>
      <c r="J51" s="11">
        <v>0.58199999999999996</v>
      </c>
      <c r="K51" s="11">
        <v>0.56200000000000006</v>
      </c>
      <c r="L51" s="11">
        <v>0.54800000000000004</v>
      </c>
      <c r="M51" s="11">
        <v>0.53700000000000003</v>
      </c>
      <c r="N51" s="11">
        <v>0.52800000000000002</v>
      </c>
      <c r="O51" s="11">
        <v>0.52100000000000002</v>
      </c>
      <c r="P51" s="11">
        <v>0.51600000000000001</v>
      </c>
      <c r="Q51" s="11">
        <v>0.51200000000000001</v>
      </c>
    </row>
    <row r="52" spans="1:17" ht="12.75" customHeight="1" x14ac:dyDescent="0.25">
      <c r="A52" s="2148"/>
      <c r="B52" s="10">
        <v>2</v>
      </c>
      <c r="C52" s="11">
        <v>0.84399999999999997</v>
      </c>
      <c r="D52" s="11">
        <v>0.70499999999999996</v>
      </c>
      <c r="E52" s="11">
        <v>0.61399999999999999</v>
      </c>
      <c r="F52" s="11">
        <v>0.55400000000000005</v>
      </c>
      <c r="G52" s="11">
        <v>0.51400000000000001</v>
      </c>
      <c r="H52" s="11">
        <v>0.48499999999999999</v>
      </c>
      <c r="I52" s="11">
        <v>0.46300000000000002</v>
      </c>
      <c r="J52" s="11">
        <v>0.44500000000000001</v>
      </c>
      <c r="K52" s="11">
        <v>0.43</v>
      </c>
      <c r="L52" s="11">
        <v>0.41799999999999998</v>
      </c>
      <c r="M52" s="11">
        <v>0.40600000000000003</v>
      </c>
      <c r="N52" s="11">
        <v>0.39700000000000002</v>
      </c>
      <c r="O52" s="11">
        <v>0.39</v>
      </c>
      <c r="P52" s="11">
        <v>0.38300000000000001</v>
      </c>
      <c r="Q52" s="11">
        <v>0.376</v>
      </c>
    </row>
    <row r="53" spans="1:17" ht="12.75" customHeight="1" x14ac:dyDescent="0.25">
      <c r="A53" s="2148"/>
      <c r="B53" s="10">
        <v>3</v>
      </c>
      <c r="C53" s="11">
        <v>0.745</v>
      </c>
      <c r="D53" s="11">
        <v>0.61399999999999999</v>
      </c>
      <c r="E53" s="11">
        <v>0.52300000000000002</v>
      </c>
      <c r="F53" s="11">
        <v>0.47199999999999998</v>
      </c>
      <c r="G53" s="11">
        <v>0.434</v>
      </c>
      <c r="H53" s="11">
        <v>0.40300000000000002</v>
      </c>
      <c r="I53" s="11">
        <v>0.38100000000000001</v>
      </c>
      <c r="J53" s="11">
        <v>0.36299999999999999</v>
      </c>
      <c r="K53" s="11">
        <v>0.34799999999999998</v>
      </c>
      <c r="L53" s="11">
        <v>0.33700000000000002</v>
      </c>
      <c r="M53" s="11">
        <v>0.32700000000000001</v>
      </c>
      <c r="N53" s="11">
        <v>0.318</v>
      </c>
      <c r="O53" s="11">
        <v>0.309</v>
      </c>
      <c r="P53" s="11">
        <v>0.30099999999999999</v>
      </c>
      <c r="Q53" s="11">
        <v>0.29399999999999998</v>
      </c>
    </row>
    <row r="54" spans="1:17" ht="12.75" customHeight="1" x14ac:dyDescent="0.25">
      <c r="A54" s="2148"/>
      <c r="B54" s="10">
        <v>4</v>
      </c>
      <c r="C54" s="11">
        <v>0.66300000000000003</v>
      </c>
      <c r="D54" s="11">
        <v>0.55200000000000005</v>
      </c>
      <c r="E54" s="11">
        <v>0.47299999999999998</v>
      </c>
      <c r="F54" s="11">
        <v>0.42199999999999999</v>
      </c>
      <c r="G54" s="11">
        <v>0.38500000000000001</v>
      </c>
      <c r="H54" s="11">
        <v>0.35899999999999999</v>
      </c>
      <c r="I54" s="11">
        <v>0.33800000000000002</v>
      </c>
      <c r="J54" s="11">
        <v>0.32100000000000001</v>
      </c>
      <c r="K54" s="11">
        <v>0.307</v>
      </c>
      <c r="L54" s="11">
        <v>0.29499999999999998</v>
      </c>
      <c r="M54" s="11">
        <v>0.28499999999999998</v>
      </c>
      <c r="N54" s="11">
        <v>0.27800000000000002</v>
      </c>
      <c r="O54" s="11">
        <v>0.27</v>
      </c>
      <c r="P54" s="11">
        <v>0.26300000000000001</v>
      </c>
      <c r="Q54" s="11">
        <v>0.25600000000000001</v>
      </c>
    </row>
  </sheetData>
  <mergeCells count="16">
    <mergeCell ref="A51:A54"/>
    <mergeCell ref="A39:A42"/>
    <mergeCell ref="A43:A46"/>
    <mergeCell ref="A47:A50"/>
    <mergeCell ref="C1:Q1"/>
    <mergeCell ref="A27:A30"/>
    <mergeCell ref="A31:A34"/>
    <mergeCell ref="A35:A38"/>
    <mergeCell ref="B1:B2"/>
    <mergeCell ref="A11:A14"/>
    <mergeCell ref="A15:A18"/>
    <mergeCell ref="A19:A22"/>
    <mergeCell ref="A23:A26"/>
    <mergeCell ref="A1:A2"/>
    <mergeCell ref="A3:A6"/>
    <mergeCell ref="A7:A10"/>
  </mergeCells>
  <phoneticPr fontId="0" type="noConversion"/>
  <pageMargins left="0.75" right="0.75" top="1" bottom="1" header="0" footer="0"/>
  <pageSetup orientation="portrait"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B42"/>
  <sheetViews>
    <sheetView workbookViewId="0">
      <selection activeCell="J23" sqref="J23"/>
    </sheetView>
  </sheetViews>
  <sheetFormatPr baseColWidth="10" defaultColWidth="11.44140625" defaultRowHeight="13.2" x14ac:dyDescent="0.25"/>
  <cols>
    <col min="1" max="1" width="21.44140625" customWidth="1"/>
    <col min="2" max="2" width="16" customWidth="1"/>
  </cols>
  <sheetData>
    <row r="1" spans="1:2" ht="31.5" customHeight="1" x14ac:dyDescent="0.25">
      <c r="A1" s="51" t="s">
        <v>1944</v>
      </c>
      <c r="B1" s="6" t="s">
        <v>1945</v>
      </c>
    </row>
    <row r="2" spans="1:2" x14ac:dyDescent="0.25">
      <c r="A2" s="35">
        <v>1</v>
      </c>
      <c r="B2" s="35">
        <v>1</v>
      </c>
    </row>
    <row r="3" spans="1:2" x14ac:dyDescent="0.25">
      <c r="A3" s="35">
        <v>2</v>
      </c>
      <c r="B3" s="35">
        <v>1</v>
      </c>
    </row>
    <row r="4" spans="1:2" x14ac:dyDescent="0.25">
      <c r="A4" s="35">
        <v>3</v>
      </c>
      <c r="B4" s="35">
        <v>1</v>
      </c>
    </row>
    <row r="5" spans="1:2" x14ac:dyDescent="0.25">
      <c r="A5" s="35">
        <v>4</v>
      </c>
      <c r="B5" s="35">
        <v>0.8</v>
      </c>
    </row>
    <row r="6" spans="1:2" x14ac:dyDescent="0.25">
      <c r="A6" s="35">
        <v>5</v>
      </c>
      <c r="B6" s="35">
        <v>0.8</v>
      </c>
    </row>
    <row r="7" spans="1:2" x14ac:dyDescent="0.25">
      <c r="A7" s="35">
        <v>6</v>
      </c>
      <c r="B7" s="35">
        <v>0.8</v>
      </c>
    </row>
    <row r="8" spans="1:2" x14ac:dyDescent="0.25">
      <c r="A8" s="35">
        <v>7</v>
      </c>
      <c r="B8" s="35">
        <v>0.7</v>
      </c>
    </row>
    <row r="9" spans="1:2" x14ac:dyDescent="0.25">
      <c r="A9" s="35">
        <v>8</v>
      </c>
      <c r="B9" s="35">
        <v>0.7</v>
      </c>
    </row>
    <row r="10" spans="1:2" x14ac:dyDescent="0.25">
      <c r="A10" s="35">
        <v>9</v>
      </c>
      <c r="B10" s="35">
        <v>0.7</v>
      </c>
    </row>
    <row r="11" spans="1:2" x14ac:dyDescent="0.25">
      <c r="A11" s="35">
        <v>10</v>
      </c>
      <c r="B11" s="35">
        <v>0.5</v>
      </c>
    </row>
    <row r="12" spans="1:2" x14ac:dyDescent="0.25">
      <c r="A12" s="35">
        <v>11</v>
      </c>
      <c r="B12" s="35">
        <v>0.5</v>
      </c>
    </row>
    <row r="13" spans="1:2" x14ac:dyDescent="0.25">
      <c r="A13" s="35">
        <v>12</v>
      </c>
      <c r="B13" s="35">
        <v>0.5</v>
      </c>
    </row>
    <row r="14" spans="1:2" x14ac:dyDescent="0.25">
      <c r="A14" s="35">
        <v>13</v>
      </c>
      <c r="B14" s="35">
        <v>0.5</v>
      </c>
    </row>
    <row r="15" spans="1:2" x14ac:dyDescent="0.25">
      <c r="A15" s="35">
        <v>14</v>
      </c>
      <c r="B15" s="35">
        <v>0.5</v>
      </c>
    </row>
    <row r="16" spans="1:2" x14ac:dyDescent="0.25">
      <c r="A16" s="35">
        <v>15</v>
      </c>
      <c r="B16" s="35">
        <v>0.5</v>
      </c>
    </row>
    <row r="17" spans="1:2" x14ac:dyDescent="0.25">
      <c r="A17" s="35">
        <v>16</v>
      </c>
      <c r="B17" s="35">
        <v>0.5</v>
      </c>
    </row>
    <row r="18" spans="1:2" x14ac:dyDescent="0.25">
      <c r="A18" s="35">
        <v>17</v>
      </c>
      <c r="B18" s="35">
        <v>0.5</v>
      </c>
    </row>
    <row r="19" spans="1:2" x14ac:dyDescent="0.25">
      <c r="A19" s="35">
        <v>18</v>
      </c>
      <c r="B19" s="35">
        <v>0.5</v>
      </c>
    </row>
    <row r="20" spans="1:2" x14ac:dyDescent="0.25">
      <c r="A20" s="35">
        <v>19</v>
      </c>
      <c r="B20" s="35">
        <v>0.5</v>
      </c>
    </row>
    <row r="21" spans="1:2" x14ac:dyDescent="0.25">
      <c r="A21" s="35">
        <v>20</v>
      </c>
      <c r="B21" s="35">
        <v>0.5</v>
      </c>
    </row>
    <row r="22" spans="1:2" x14ac:dyDescent="0.25">
      <c r="A22" s="35">
        <v>21</v>
      </c>
      <c r="B22" s="35">
        <v>0.45</v>
      </c>
    </row>
    <row r="23" spans="1:2" x14ac:dyDescent="0.25">
      <c r="A23" s="35">
        <v>22</v>
      </c>
      <c r="B23" s="35">
        <v>0.45</v>
      </c>
    </row>
    <row r="24" spans="1:2" x14ac:dyDescent="0.25">
      <c r="A24" s="35">
        <v>23</v>
      </c>
      <c r="B24" s="35">
        <v>0.45</v>
      </c>
    </row>
    <row r="25" spans="1:2" x14ac:dyDescent="0.25">
      <c r="A25" s="35">
        <v>24</v>
      </c>
      <c r="B25" s="35">
        <v>0.45</v>
      </c>
    </row>
    <row r="26" spans="1:2" x14ac:dyDescent="0.25">
      <c r="A26" s="35">
        <v>25</v>
      </c>
      <c r="B26" s="35">
        <v>0.45</v>
      </c>
    </row>
    <row r="27" spans="1:2" x14ac:dyDescent="0.25">
      <c r="A27" s="35">
        <v>26</v>
      </c>
      <c r="B27" s="35">
        <v>0.45</v>
      </c>
    </row>
    <row r="28" spans="1:2" x14ac:dyDescent="0.25">
      <c r="A28" s="35">
        <v>27</v>
      </c>
      <c r="B28" s="35">
        <v>0.45</v>
      </c>
    </row>
    <row r="29" spans="1:2" x14ac:dyDescent="0.25">
      <c r="A29" s="35">
        <v>28</v>
      </c>
      <c r="B29" s="35">
        <v>0.45</v>
      </c>
    </row>
    <row r="30" spans="1:2" x14ac:dyDescent="0.25">
      <c r="A30" s="35">
        <v>29</v>
      </c>
      <c r="B30" s="35">
        <v>0.45</v>
      </c>
    </row>
    <row r="31" spans="1:2" x14ac:dyDescent="0.25">
      <c r="A31" s="35">
        <v>30</v>
      </c>
      <c r="B31" s="35">
        <v>0.45</v>
      </c>
    </row>
    <row r="32" spans="1:2" x14ac:dyDescent="0.25">
      <c r="A32" s="35">
        <v>31</v>
      </c>
      <c r="B32" s="35">
        <v>0.4</v>
      </c>
    </row>
    <row r="33" spans="1:2" x14ac:dyDescent="0.25">
      <c r="A33" s="35">
        <v>32</v>
      </c>
      <c r="B33" s="35">
        <v>0.4</v>
      </c>
    </row>
    <row r="34" spans="1:2" x14ac:dyDescent="0.25">
      <c r="A34" s="35">
        <v>33</v>
      </c>
      <c r="B34" s="35">
        <v>0.4</v>
      </c>
    </row>
    <row r="35" spans="1:2" x14ac:dyDescent="0.25">
      <c r="A35" s="35">
        <v>34</v>
      </c>
      <c r="B35" s="35">
        <v>0.4</v>
      </c>
    </row>
    <row r="36" spans="1:2" x14ac:dyDescent="0.25">
      <c r="A36" s="35">
        <v>35</v>
      </c>
      <c r="B36" s="35">
        <v>0.4</v>
      </c>
    </row>
    <row r="37" spans="1:2" x14ac:dyDescent="0.25">
      <c r="A37" s="35">
        <v>36</v>
      </c>
      <c r="B37" s="35">
        <v>0.4</v>
      </c>
    </row>
    <row r="38" spans="1:2" x14ac:dyDescent="0.25">
      <c r="A38" s="35">
        <v>37</v>
      </c>
      <c r="B38" s="35">
        <v>0.4</v>
      </c>
    </row>
    <row r="39" spans="1:2" x14ac:dyDescent="0.25">
      <c r="A39" s="35">
        <v>38</v>
      </c>
      <c r="B39" s="35">
        <v>0.4</v>
      </c>
    </row>
    <row r="40" spans="1:2" x14ac:dyDescent="0.25">
      <c r="A40" s="35">
        <v>39</v>
      </c>
      <c r="B40" s="35">
        <v>0.4</v>
      </c>
    </row>
    <row r="41" spans="1:2" x14ac:dyDescent="0.25">
      <c r="A41" s="35">
        <v>40</v>
      </c>
      <c r="B41" s="35">
        <v>0.4</v>
      </c>
    </row>
    <row r="42" spans="1:2" x14ac:dyDescent="0.25">
      <c r="A42" s="35">
        <v>41</v>
      </c>
      <c r="B42" s="35">
        <v>0.35</v>
      </c>
    </row>
  </sheetData>
  <phoneticPr fontId="29" type="noConversion"/>
  <pageMargins left="0.75" right="0.75" top="1" bottom="1" header="0" footer="0"/>
  <pageSetup orientation="portrait" verticalDpi="300"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363807e-9f8d-48f1-8158-c0c019312115" xsi:nil="true"/>
    <lcf76f155ced4ddcb4097134ff3c332f xmlns="2b050bef-9e9e-40d8-b5c4-d083c0575735">
      <Terms xmlns="http://schemas.microsoft.com/office/infopath/2007/PartnerControls"/>
    </lcf76f155ced4ddcb4097134ff3c332f>
    <_Flow_SignoffStatus xmlns="2b050bef-9e9e-40d8-b5c4-d083c0575735" xsi:nil="true"/>
    <Hiperc_x00ed_nculo xmlns="2b050bef-9e9e-40d8-b5c4-d083c0575735">
      <Url xsi:nil="true"/>
      <Description xsi:nil="true"/>
    </Hiperc_x00ed_nculo>
    <Flujo_x0020_Revision_x0020_P xmlns="2b050bef-9e9e-40d8-b5c4-d083c0575735" xsi:nil="true"/>
    <Flujo_x0020_Revision_x0020_A_x002e_B_x002e_C xmlns="2b050bef-9e9e-40d8-b5c4-d083c057573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DC4FE0E2A5B99042AE2A396CB1C4C262" ma:contentTypeVersion="27" ma:contentTypeDescription="Crear nuevo documento." ma:contentTypeScope="" ma:versionID="258ef30c4a222856527b39385b31de38">
  <xsd:schema xmlns:xsd="http://www.w3.org/2001/XMLSchema" xmlns:xs="http://www.w3.org/2001/XMLSchema" xmlns:p="http://schemas.microsoft.com/office/2006/metadata/properties" xmlns:ns2="9363807e-9f8d-48f1-8158-c0c019312115" xmlns:ns3="2b050bef-9e9e-40d8-b5c4-d083c0575735" targetNamespace="http://schemas.microsoft.com/office/2006/metadata/properties" ma:root="true" ma:fieldsID="b3cea4eb5c830c8ccf836145a85836ec" ns2:_="" ns3:_="">
    <xsd:import namespace="9363807e-9f8d-48f1-8158-c0c019312115"/>
    <xsd:import namespace="2b050bef-9e9e-40d8-b5c4-d083c057573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3:MediaServiceEventHashCode" minOccurs="0"/>
                <xsd:element ref="ns3:MediaServiceGenerationTime" minOccurs="0"/>
                <xsd:element ref="ns3:_Flow_SignoffStatus" minOccurs="0"/>
                <xsd:element ref="ns3:MediaServiceAutoKeyPoints" minOccurs="0"/>
                <xsd:element ref="ns3:MediaServiceKeyPoints" minOccurs="0"/>
                <xsd:element ref="ns3:MediaLengthInSeconds" minOccurs="0"/>
                <xsd:element ref="ns3:Hiperc_x00ed_nculo" minOccurs="0"/>
                <xsd:element ref="ns3:lcf76f155ced4ddcb4097134ff3c332f" minOccurs="0"/>
                <xsd:element ref="ns2:TaxCatchAll" minOccurs="0"/>
                <xsd:element ref="ns3:Flujo_x0020_Revision_x0020_P" minOccurs="0"/>
                <xsd:element ref="ns3:Flujo_x0020_Revision_x0020_A_x002e_B_x002e_C" minOccurs="0"/>
                <xsd:element ref="ns3:MediaServiceObjectDetectorVersion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363807e-9f8d-48f1-8158-c0c019312115"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6" nillable="true" ma:displayName="Taxonomy Catch All Column" ma:hidden="true" ma:list="{d16c4825-71fb-4a3e-b391-e41295a5f93b}" ma:internalName="TaxCatchAll" ma:showField="CatchAllData" ma:web="9363807e-9f8d-48f1-8158-c0c01931211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b050bef-9e9e-40d8-b5c4-d083c0575735"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Location" ma:index="15"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_Flow_SignoffStatus" ma:index="19" nillable="true" ma:displayName="Estado de aprobación" ma:indexed="true" ma:internalName="Estado_x0020_de_x0020_aprobaci_x00f3_n">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Hiperc_x00ed_nculo" ma:index="23" nillable="true" ma:displayName="Hipercínculo" ma:format="Hyperlink" ma:internalName="Hiperc_x00ed_nculo">
      <xsd:complexType>
        <xsd:complexContent>
          <xsd:extension base="dms:URL">
            <xsd:sequence>
              <xsd:element name="Url" type="dms:ValidUrl" minOccurs="0" nillable="true"/>
              <xsd:element name="Description" type="xsd:string" nillable="true"/>
            </xsd:sequence>
          </xsd:extension>
        </xsd:complexContent>
      </xsd:complexType>
    </xsd:element>
    <xsd:element name="lcf76f155ced4ddcb4097134ff3c332f" ma:index="25" nillable="true" ma:taxonomy="true" ma:internalName="lcf76f155ced4ddcb4097134ff3c332f" ma:taxonomyFieldName="MediaServiceImageTags" ma:displayName="Etiquetas de imagen" ma:readOnly="false" ma:fieldId="{5cf76f15-5ced-4ddc-b409-7134ff3c332f}" ma:taxonomyMulti="true" ma:sspId="3a501f04-2df1-4816-a09e-3fdaa0745854" ma:termSetId="09814cd3-568e-fe90-9814-8d621ff8fb84" ma:anchorId="fba54fb3-c3e1-fe81-a776-ca4b69148c4d" ma:open="true" ma:isKeyword="false">
      <xsd:complexType>
        <xsd:sequence>
          <xsd:element ref="pc:Terms" minOccurs="0" maxOccurs="1"/>
        </xsd:sequence>
      </xsd:complexType>
    </xsd:element>
    <xsd:element name="Flujo_x0020_Revision_x0020_P" ma:index="27" nillable="true" ma:displayName="Flujo Revision P" ma:description="Indica el Flujo que se ejecuto para la versión P del documento" ma:internalName="Flujo_x0020_Revision_x0020_P">
      <xsd:simpleType>
        <xsd:restriction base="dms:Note">
          <xsd:maxLength value="255"/>
        </xsd:restriction>
      </xsd:simpleType>
    </xsd:element>
    <xsd:element name="Flujo_x0020_Revision_x0020_A_x002e_B_x002e_C" ma:index="28" nillable="true" ma:displayName="Flujo Revision A.B.C" ma:description="Indica el Flujo que se ejecuto para la versión A.B.C del documento" ma:internalName="Flujo_x0020_Revision_x0020_A_x002e_B_x002e_C">
      <xsd:simpleType>
        <xsd:restriction base="dms:Note">
          <xsd:maxLength value="255"/>
        </xsd:restriction>
      </xsd:simpleType>
    </xsd:element>
    <xsd:element name="MediaServiceObjectDetectorVersions" ma:index="29"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30" nillable="true" ma:displayName="MediaServiceSearchProperties" ma:hidden="true" ma:internalName="MediaServiceSearchProperties" ma:readOnly="true">
      <xsd:simpleType>
        <xsd:restriction base="dms:Note"/>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E176ED2-4D8B-4990-986F-4A9FC5851B4A}">
  <ds:schemaRefs>
    <ds:schemaRef ds:uri="http://purl.org/dc/elements/1.1/"/>
    <ds:schemaRef ds:uri="9363807e-9f8d-48f1-8158-c0c019312115"/>
    <ds:schemaRef ds:uri="http://purl.org/dc/terms/"/>
    <ds:schemaRef ds:uri="http://schemas.openxmlformats.org/package/2006/metadata/core-properties"/>
    <ds:schemaRef ds:uri="http://www.w3.org/XML/1998/namespace"/>
    <ds:schemaRef ds:uri="http://schemas.microsoft.com/office/infopath/2007/PartnerControls"/>
    <ds:schemaRef ds:uri="http://schemas.microsoft.com/office/2006/documentManagement/types"/>
    <ds:schemaRef ds:uri="2b050bef-9e9e-40d8-b5c4-d083c0575735"/>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C287CE11-5668-4697-8C8F-427E4068F6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363807e-9f8d-48f1-8158-c0c019312115"/>
    <ds:schemaRef ds:uri="2b050bef-9e9e-40d8-b5c4-d083c0575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4BB2D0-89DB-4B63-A64E-032BEC7DD6D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66</vt:i4>
      </vt:variant>
    </vt:vector>
  </HeadingPairs>
  <TitlesOfParts>
    <vt:vector size="98" baseType="lpstr">
      <vt:lpstr>TEORIA1</vt:lpstr>
      <vt:lpstr>TEORIA2</vt:lpstr>
      <vt:lpstr>Aplicacion</vt:lpstr>
      <vt:lpstr>PORTADA </vt:lpstr>
      <vt:lpstr>C.C. </vt:lpstr>
      <vt:lpstr>CÁLCULO CONDUCTORES DE MT</vt:lpstr>
      <vt:lpstr>Listas</vt:lpstr>
      <vt:lpstr>CODIFICACIÓN ECO</vt:lpstr>
      <vt:lpstr>DIÁMETRO BT</vt:lpstr>
      <vt:lpstr>CONDCUTORES MT</vt:lpstr>
      <vt:lpstr>H2-CONDUCTORES DE BT</vt:lpstr>
      <vt:lpstr>H3-PÉRDIDAS</vt:lpstr>
      <vt:lpstr>H4-CANALIZACIONES</vt:lpstr>
      <vt:lpstr>PÉRDIDAS ECONO Al</vt:lpstr>
      <vt:lpstr>PÉRDIDAS ECONO Cu</vt:lpstr>
      <vt:lpstr>RESUMEN</vt:lpstr>
      <vt:lpstr>H1-CUADRO DE CARGAS</vt:lpstr>
      <vt:lpstr>NOTAS</vt:lpstr>
      <vt:lpstr>CONDUITS</vt:lpstr>
      <vt:lpstr>Demanda Trafo A</vt:lpstr>
      <vt:lpstr>Longitudes</vt:lpstr>
      <vt:lpstr>Resumen Perdidas</vt:lpstr>
      <vt:lpstr>factores</vt:lpstr>
      <vt:lpstr>Tablas Cables</vt:lpstr>
      <vt:lpstr>Equipos-fondo</vt:lpstr>
      <vt:lpstr>TABLAC</vt:lpstr>
      <vt:lpstr>0-5000</vt:lpstr>
      <vt:lpstr>I Plena Carga</vt:lpstr>
      <vt:lpstr>CONDUCTORES</vt:lpstr>
      <vt:lpstr>COSTOS</vt:lpstr>
      <vt:lpstr>5000-35000</vt:lpstr>
      <vt:lpstr>% PORTADORES I</vt:lpstr>
      <vt:lpstr>angelica</vt:lpstr>
      <vt:lpstr>'C.C. '!Área_de_impresión</vt:lpstr>
      <vt:lpstr>'CÁLCULO CONDUCTORES DE MT'!Área_de_impresión</vt:lpstr>
      <vt:lpstr>'H1-CUADRO DE CARGAS'!Área_de_impresión</vt:lpstr>
      <vt:lpstr>'H2-CONDUCTORES DE BT'!Área_de_impresión</vt:lpstr>
      <vt:lpstr>'H3-PÉRDIDAS'!Área_de_impresión</vt:lpstr>
      <vt:lpstr>'H4-CANALIZACIONES'!Área_de_impresión</vt:lpstr>
      <vt:lpstr>NOTAS!Área_de_impresión</vt:lpstr>
      <vt:lpstr>'PÉRDIDAS ECONO Al'!Área_de_impresión</vt:lpstr>
      <vt:lpstr>'PÉRDIDAS ECONO Cu'!Área_de_impresión</vt:lpstr>
      <vt:lpstr>'PORTADA '!Área_de_impresión</vt:lpstr>
      <vt:lpstr>RESUMEN!Área_de_impresión</vt:lpstr>
      <vt:lpstr>TABLAC!Área_de_impresión</vt:lpstr>
      <vt:lpstr>TEORIA1!Área_de_impresión</vt:lpstr>
      <vt:lpstr>TEORIA2!Área_de_impresión</vt:lpstr>
      <vt:lpstr>AWG</vt:lpstr>
      <vt:lpstr>'H4-CANALIZACIONES'!CABLE</vt:lpstr>
      <vt:lpstr>NOTAS!CABLE</vt:lpstr>
      <vt:lpstr>CABLE</vt:lpstr>
      <vt:lpstr>'CÁLCULO CONDUCTORES DE MT'!Cargas</vt:lpstr>
      <vt:lpstr>'H2-CONDUCTORES DE BT'!Cargas</vt:lpstr>
      <vt:lpstr>'H4-CANALIZACIONES'!Cargas</vt:lpstr>
      <vt:lpstr>CONDUCTORES_CABLE</vt:lpstr>
      <vt:lpstr>CORE</vt:lpstr>
      <vt:lpstr>'CÁLCULO CONDUCTORES DE MT'!No_de_Fases</vt:lpstr>
      <vt:lpstr>'H2-CONDUCTORES DE BT'!No_de_Fases</vt:lpstr>
      <vt:lpstr>'H4-CANALIZACIONES'!No_de_Fases</vt:lpstr>
      <vt:lpstr>'C.C. '!Print_Area</vt:lpstr>
      <vt:lpstr>'H4-CANALIZACIONES'!Print_Area</vt:lpstr>
      <vt:lpstr>NOTAS!Print_Area</vt:lpstr>
      <vt:lpstr>'PORTADA '!Print_Area</vt:lpstr>
      <vt:lpstr>'H4-CANALIZACIONES'!RUTA_ELÉCTRICA</vt:lpstr>
      <vt:lpstr>NOTAS!RUTA_ELÉCTRICA</vt:lpstr>
      <vt:lpstr>RUTA_ELÉCTRICA</vt:lpstr>
      <vt:lpstr>'CÁLCULO CONDUCTORES DE MT'!SEPARACION_CONDUCTORES</vt:lpstr>
      <vt:lpstr>'H2-CONDUCTORES DE BT'!SEPARACION_CONDUCTORES</vt:lpstr>
      <vt:lpstr>'H4-CANALIZACIONES'!SEPARACION_CONDUCTORES</vt:lpstr>
      <vt:lpstr>'H4-CANALIZACIONES'!TAPA_BANDEJA</vt:lpstr>
      <vt:lpstr>NOTAS!TAPA_BANDEJA</vt:lpstr>
      <vt:lpstr>TAPA_BANDEJA</vt:lpstr>
      <vt:lpstr>'CÁLCULO CONDUCTORES DE MT'!TIPO_AISLAMIENTO</vt:lpstr>
      <vt:lpstr>'H2-CONDUCTORES DE BT'!TIPO_AISLAMIENTO</vt:lpstr>
      <vt:lpstr>'H4-CANALIZACIONES'!TIPO_AISLAMIENTO</vt:lpstr>
      <vt:lpstr>TIPO_CARGAS</vt:lpstr>
      <vt:lpstr>'H4-CANALIZACIONES'!TIPO_DE_CARGA</vt:lpstr>
      <vt:lpstr>NOTAS!TIPO_DE_CARGA</vt:lpstr>
      <vt:lpstr>TIPO_DE_CARGA</vt:lpstr>
      <vt:lpstr>'H4-CANALIZACIONES'!TIPO_DE_CONDUIT</vt:lpstr>
      <vt:lpstr>NOTAS!TIPO_DE_CONDUIT</vt:lpstr>
      <vt:lpstr>TIPO_DE_CONDUIT</vt:lpstr>
      <vt:lpstr>'H4-CANALIZACIONES'!TIPO_MATERIAL_CABLE</vt:lpstr>
      <vt:lpstr>NOTAS!TIPO_MATERIAL_CABLE</vt:lpstr>
      <vt:lpstr>TIPO_MATERIAL_CABLE</vt:lpstr>
      <vt:lpstr>'CÁLCULO CONDUCTORES DE MT'!Títulos_a_imprimir</vt:lpstr>
      <vt:lpstr>'H1-CUADRO DE CARGAS'!Títulos_a_imprimir</vt:lpstr>
      <vt:lpstr>'H2-CONDUCTORES DE BT'!Títulos_a_imprimir</vt:lpstr>
      <vt:lpstr>'H3-PÉRDIDAS'!Títulos_a_imprimir</vt:lpstr>
      <vt:lpstr>'H4-CANALIZACIONES'!Títulos_a_imprimir</vt:lpstr>
      <vt:lpstr>NOTAS!Títulos_a_imprimir</vt:lpstr>
      <vt:lpstr>'PÉRDIDAS ECONO Al'!Títulos_a_imprimir</vt:lpstr>
      <vt:lpstr>'PÉRDIDAS ECONO Cu'!Títulos_a_imprimir</vt:lpstr>
      <vt:lpstr>TEORIA1!Títulos_a_imprimir</vt:lpstr>
      <vt:lpstr>VOLTAJE</vt:lpstr>
      <vt:lpstr>'CÁLCULO CONDUCTORES DE MT'!VOLTAJE_BT</vt:lpstr>
      <vt:lpstr>'H2-CONDUCTORES DE BT'!VOLTAJE_BT</vt:lpstr>
      <vt:lpstr>'H4-CANALIZACIONES'!VOLTAJE_BT</vt:lpstr>
    </vt:vector>
  </TitlesOfParts>
  <Manager/>
  <Company>CONEQUIPOS ING. LTDA.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Jesús Borda</dc:creator>
  <cp:keywords/>
  <dc:description/>
  <cp:lastModifiedBy>Javier Humberto Narvaez Cuenca</cp:lastModifiedBy>
  <cp:revision/>
  <cp:lastPrinted>2025-12-18T16:43:34Z</cp:lastPrinted>
  <dcterms:created xsi:type="dcterms:W3CDTF">2000-08-25T19:04:34Z</dcterms:created>
  <dcterms:modified xsi:type="dcterms:W3CDTF">2025-12-26T21:02:41Z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0x010100DC4FE0E2A5B99042AE2A396CB1C4C262</vt:lpwstr>
  </property>
  <property fmtid="{D5CDD505-2E9C-101B-9397-08002B2CF9AE}" pid="3" name="MediaServiceImageTags">
    <vt:lpwstr/>
  </property>
</Properties>
</file>